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0" windowWidth="15570" windowHeight="9810"/>
  </bookViews>
  <sheets>
    <sheet name="Voorblad" sheetId="7" r:id="rId1"/>
    <sheet name="Rekenvoorbeelden" sheetId="9" state="hidden" r:id="rId2"/>
  </sheets>
  <definedNames>
    <definedName name="aanwezig" localSheetId="1">Rekenvoorbeelden!#REF!</definedName>
    <definedName name="aanwezig" localSheetId="0">Voorblad!#REF!</definedName>
    <definedName name="aanwezig">#REF!</definedName>
    <definedName name="_xlnm.Print_Area" localSheetId="1">Rekenvoorbeelden!$A$1:$N$72</definedName>
    <definedName name="_xlnm.Print_Area" localSheetId="0">Voorblad!$A$1:$D$73</definedName>
    <definedName name="koken" localSheetId="1">#REF!</definedName>
    <definedName name="koken">#REF!</definedName>
  </definedNames>
  <calcPr calcId="145621"/>
</workbook>
</file>

<file path=xl/calcChain.xml><?xml version="1.0" encoding="utf-8"?>
<calcChain xmlns="http://schemas.openxmlformats.org/spreadsheetml/2006/main">
  <c r="C62" i="7" l="1"/>
  <c r="C61" i="7"/>
  <c r="C53" i="7"/>
  <c r="C50" i="7" s="1"/>
  <c r="C58" i="7" s="1"/>
  <c r="C48" i="7"/>
  <c r="C45" i="7"/>
  <c r="C39" i="7"/>
  <c r="C34" i="7"/>
  <c r="C57" i="7" l="1"/>
  <c r="C68" i="7"/>
  <c r="D69" i="9"/>
  <c r="E69" i="9"/>
  <c r="F69" i="9"/>
  <c r="G69" i="9"/>
  <c r="H69" i="9"/>
  <c r="I69" i="9"/>
  <c r="J69" i="9"/>
  <c r="K69" i="9"/>
  <c r="L69" i="9"/>
  <c r="M69" i="9"/>
  <c r="C69" i="9"/>
  <c r="D68" i="9"/>
  <c r="E68" i="9"/>
  <c r="F68" i="9"/>
  <c r="G68" i="9"/>
  <c r="H68" i="9"/>
  <c r="I68" i="9"/>
  <c r="J68" i="9"/>
  <c r="K68" i="9"/>
  <c r="L68" i="9"/>
  <c r="M68" i="9"/>
  <c r="C68" i="9"/>
  <c r="M71" i="9"/>
  <c r="M72" i="9" s="1"/>
  <c r="E70" i="9"/>
  <c r="F70" i="9"/>
  <c r="G70" i="9"/>
  <c r="H70" i="9"/>
  <c r="I70" i="9"/>
  <c r="J70" i="9"/>
  <c r="K70" i="9"/>
  <c r="L70" i="9"/>
  <c r="L71" i="9" s="1"/>
  <c r="L72" i="9" s="1"/>
  <c r="M70" i="9"/>
  <c r="D70" i="9"/>
  <c r="E71" i="9"/>
  <c r="E72" i="9" s="1"/>
  <c r="F71" i="9"/>
  <c r="F72" i="9" s="1"/>
  <c r="G71" i="9"/>
  <c r="I71" i="9"/>
  <c r="I72" i="9" s="1"/>
  <c r="J71" i="9"/>
  <c r="J72" i="9" s="1"/>
  <c r="K71" i="9"/>
  <c r="K72" i="9" s="1"/>
  <c r="G72" i="9"/>
  <c r="C69" i="7" l="1"/>
  <c r="C71" i="7" s="1"/>
  <c r="C71" i="9"/>
  <c r="C72" i="9" s="1"/>
  <c r="H71" i="9"/>
  <c r="H72" i="9" s="1"/>
  <c r="D71" i="9"/>
  <c r="D72" i="9" s="1"/>
  <c r="C39" i="9"/>
  <c r="D61" i="9" l="1"/>
  <c r="E61" i="9"/>
  <c r="F61" i="9"/>
  <c r="G61" i="9"/>
  <c r="H61" i="9"/>
  <c r="I61" i="9"/>
  <c r="J61" i="9"/>
  <c r="K61" i="9"/>
  <c r="L61" i="9"/>
  <c r="M61" i="9"/>
  <c r="D62" i="9"/>
  <c r="E62" i="9"/>
  <c r="F62" i="9"/>
  <c r="G62" i="9"/>
  <c r="H62" i="9"/>
  <c r="I62" i="9"/>
  <c r="J62" i="9"/>
  <c r="K62" i="9"/>
  <c r="L62" i="9"/>
  <c r="M62" i="9"/>
  <c r="D63" i="9"/>
  <c r="E63" i="9"/>
  <c r="F63" i="9"/>
  <c r="G63" i="9"/>
  <c r="H63" i="9"/>
  <c r="I63" i="9"/>
  <c r="J63" i="9"/>
  <c r="K63" i="9"/>
  <c r="L63" i="9"/>
  <c r="M63" i="9"/>
  <c r="D65" i="9"/>
  <c r="E65" i="9"/>
  <c r="F65" i="9"/>
  <c r="G65" i="9"/>
  <c r="H65" i="9"/>
  <c r="I65" i="9"/>
  <c r="J65" i="9"/>
  <c r="K65" i="9"/>
  <c r="L65" i="9"/>
  <c r="M65" i="9"/>
  <c r="D66" i="9"/>
  <c r="E66" i="9"/>
  <c r="F66" i="9"/>
  <c r="G66" i="9"/>
  <c r="H66" i="9"/>
  <c r="I66" i="9"/>
  <c r="J66" i="9"/>
  <c r="K66" i="9"/>
  <c r="L66" i="9"/>
  <c r="M66" i="9"/>
  <c r="C65" i="7" l="1"/>
  <c r="C66" i="7" s="1"/>
  <c r="C45" i="9"/>
  <c r="D45" i="9"/>
  <c r="E45" i="9"/>
  <c r="F45" i="9"/>
  <c r="G45" i="9"/>
  <c r="H45" i="9"/>
  <c r="I45" i="9"/>
  <c r="K45" i="9"/>
  <c r="L45" i="9"/>
  <c r="M45" i="9"/>
  <c r="J45" i="9"/>
  <c r="C65" i="9"/>
  <c r="C66" i="9" s="1"/>
  <c r="E56" i="9"/>
  <c r="F56" i="9"/>
  <c r="G56" i="9"/>
  <c r="H56" i="9"/>
  <c r="I56" i="9"/>
  <c r="J56" i="9"/>
  <c r="K56" i="9"/>
  <c r="L56" i="9"/>
  <c r="M56" i="9"/>
  <c r="D56" i="9"/>
  <c r="F53" i="9"/>
  <c r="E53" i="9"/>
  <c r="D53" i="9"/>
  <c r="C53" i="9"/>
  <c r="C50" i="9" s="1"/>
  <c r="F50" i="9"/>
  <c r="E50" i="9"/>
  <c r="F39" i="9"/>
  <c r="E39" i="9"/>
  <c r="D39" i="9"/>
  <c r="F34" i="9"/>
  <c r="F49" i="9" s="1"/>
  <c r="E34" i="9"/>
  <c r="E49" i="9" s="1"/>
  <c r="D34" i="9"/>
  <c r="D49" i="9" s="1"/>
  <c r="C34" i="9"/>
  <c r="C49" i="9" s="1"/>
  <c r="H53" i="9"/>
  <c r="G53" i="9"/>
  <c r="H39" i="9"/>
  <c r="G39" i="9"/>
  <c r="H34" i="9"/>
  <c r="H49" i="9" s="1"/>
  <c r="H57" i="9" s="1"/>
  <c r="G34" i="9"/>
  <c r="G49" i="9" s="1"/>
  <c r="G57" i="9" s="1"/>
  <c r="I53" i="9"/>
  <c r="I39" i="9"/>
  <c r="I34" i="9"/>
  <c r="I49" i="9" s="1"/>
  <c r="I48" i="9" s="1"/>
  <c r="C57" i="9" l="1"/>
  <c r="E57" i="9"/>
  <c r="C61" i="9"/>
  <c r="D57" i="9"/>
  <c r="F57" i="9"/>
  <c r="D50" i="9"/>
  <c r="D58" i="9" s="1"/>
  <c r="G50" i="9"/>
  <c r="G58" i="9" s="1"/>
  <c r="C58" i="9"/>
  <c r="C48" i="9"/>
  <c r="H50" i="9"/>
  <c r="H58" i="9" s="1"/>
  <c r="I50" i="9"/>
  <c r="I58" i="9" s="1"/>
  <c r="H48" i="9"/>
  <c r="G48" i="9"/>
  <c r="F48" i="9"/>
  <c r="F58" i="9"/>
  <c r="E48" i="9"/>
  <c r="E58" i="9"/>
  <c r="D48" i="9"/>
  <c r="I57" i="9"/>
  <c r="M58" i="9"/>
  <c r="M50" i="9"/>
  <c r="M48" i="9"/>
  <c r="M53" i="9"/>
  <c r="L53" i="9"/>
  <c r="K53" i="9"/>
  <c r="K39" i="9"/>
  <c r="L39" i="9"/>
  <c r="M39" i="9"/>
  <c r="K34" i="9"/>
  <c r="K49" i="9" s="1"/>
  <c r="K48" i="9" s="1"/>
  <c r="L34" i="9"/>
  <c r="L49" i="9" s="1"/>
  <c r="L48" i="9" s="1"/>
  <c r="J53" i="9"/>
  <c r="J39" i="9"/>
  <c r="J34" i="9"/>
  <c r="J49" i="9" s="1"/>
  <c r="J48" i="9" s="1"/>
  <c r="M34" i="9"/>
  <c r="M49" i="9" s="1"/>
  <c r="C63" i="7"/>
  <c r="C49" i="7"/>
  <c r="C62" i="9" l="1"/>
  <c r="C63" i="9"/>
  <c r="K50" i="9"/>
  <c r="K58" i="9" s="1"/>
  <c r="L50" i="9"/>
  <c r="L58" i="9" s="1"/>
  <c r="J50" i="9"/>
  <c r="J58" i="9" s="1"/>
  <c r="C72" i="7"/>
  <c r="L57" i="9"/>
  <c r="K57" i="9"/>
  <c r="M57" i="9"/>
  <c r="J57" i="9"/>
</calcChain>
</file>

<file path=xl/sharedStrings.xml><?xml version="1.0" encoding="utf-8"?>
<sst xmlns="http://schemas.openxmlformats.org/spreadsheetml/2006/main" count="280" uniqueCount="95">
  <si>
    <t>MJ/m²</t>
  </si>
  <si>
    <t>vrijstaande woning</t>
  </si>
  <si>
    <t>hoek woning</t>
  </si>
  <si>
    <t>tussen woning</t>
  </si>
  <si>
    <t>EPC</t>
  </si>
  <si>
    <t>zomercomfort</t>
  </si>
  <si>
    <t>ventilatoren</t>
  </si>
  <si>
    <t>verlichting</t>
  </si>
  <si>
    <t>geëxporteerde elektriciteit</t>
  </si>
  <si>
    <t>op eigen perceel opgewekte elektriciteit</t>
  </si>
  <si>
    <t>MJ</t>
  </si>
  <si>
    <t>totale gebruiksoppervlakte</t>
  </si>
  <si>
    <t>totale verliesoppervlakte</t>
  </si>
  <si>
    <t>gebouwgebonden installaties</t>
  </si>
  <si>
    <t>Aardgasgebruik (exclusief koken)</t>
  </si>
  <si>
    <t>Electriciteitsgebruik</t>
  </si>
  <si>
    <t>Oppervlakten</t>
  </si>
  <si>
    <t>m²</t>
  </si>
  <si>
    <t>m³aeq</t>
  </si>
  <si>
    <t>kWh</t>
  </si>
  <si>
    <t>specifieke energieprestatie</t>
  </si>
  <si>
    <t>karakteristiek energiegebruik</t>
  </si>
  <si>
    <t>toelaatbaar karakteristiek energiegebruik</t>
  </si>
  <si>
    <t>energieprestatiecoëfficient</t>
  </si>
  <si>
    <t>EP</t>
  </si>
  <si>
    <t>-</t>
  </si>
  <si>
    <t>nieuwbouw-eis energieprestatiecoëfficient</t>
  </si>
  <si>
    <t>factor toelaatbare energiegebruik per m²</t>
  </si>
  <si>
    <t>factor transmissieverliezen compensatie</t>
  </si>
  <si>
    <t>vaste post energiebudget</t>
  </si>
  <si>
    <t>aantal wooneenheden</t>
  </si>
  <si>
    <t>criterium</t>
  </si>
  <si>
    <t>verwarming</t>
  </si>
  <si>
    <t>koeling</t>
  </si>
  <si>
    <t>totaal</t>
  </si>
  <si>
    <t>Projectgegevens</t>
  </si>
  <si>
    <t>project</t>
  </si>
  <si>
    <t>projectnummer</t>
  </si>
  <si>
    <t>Conversie EPC naar Active House criteria</t>
  </si>
  <si>
    <t>verwarming hulpenergie</t>
  </si>
  <si>
    <t>tapwater hulpenergie</t>
  </si>
  <si>
    <t>koeling hulpenergie</t>
  </si>
  <si>
    <r>
      <t>E</t>
    </r>
    <r>
      <rPr>
        <vertAlign val="subscript"/>
        <sz val="8"/>
        <rFont val="Verdana"/>
        <family val="2"/>
      </rPr>
      <t>H;P</t>
    </r>
  </si>
  <si>
    <r>
      <t>E</t>
    </r>
    <r>
      <rPr>
        <vertAlign val="subscript"/>
        <sz val="8"/>
        <rFont val="Verdana"/>
        <family val="2"/>
      </rPr>
      <t>W;P</t>
    </r>
  </si>
  <si>
    <r>
      <t>E</t>
    </r>
    <r>
      <rPr>
        <vertAlign val="subscript"/>
        <sz val="8"/>
        <rFont val="Verdana"/>
        <family val="2"/>
      </rPr>
      <t>C;P</t>
    </r>
  </si>
  <si>
    <r>
      <t>E</t>
    </r>
    <r>
      <rPr>
        <vertAlign val="subscript"/>
        <sz val="8"/>
        <rFont val="Verdana"/>
        <family val="2"/>
      </rPr>
      <t>SC;P</t>
    </r>
  </si>
  <si>
    <r>
      <t>E</t>
    </r>
    <r>
      <rPr>
        <vertAlign val="subscript"/>
        <sz val="8"/>
        <rFont val="Verdana"/>
        <family val="2"/>
      </rPr>
      <t>V;P</t>
    </r>
  </si>
  <si>
    <r>
      <t>E</t>
    </r>
    <r>
      <rPr>
        <vertAlign val="subscript"/>
        <sz val="8"/>
        <rFont val="Verdana"/>
        <family val="2"/>
      </rPr>
      <t>L;P</t>
    </r>
  </si>
  <si>
    <r>
      <t>E</t>
    </r>
    <r>
      <rPr>
        <vertAlign val="subscript"/>
        <sz val="8"/>
        <rFont val="Verdana"/>
        <family val="2"/>
      </rPr>
      <t>P;exp;el</t>
    </r>
  </si>
  <si>
    <r>
      <t>E</t>
    </r>
    <r>
      <rPr>
        <vertAlign val="subscript"/>
        <sz val="8"/>
        <rFont val="Verdana"/>
        <family val="2"/>
      </rPr>
      <t>P;pr;us;el</t>
    </r>
  </si>
  <si>
    <r>
      <t>W</t>
    </r>
    <r>
      <rPr>
        <vertAlign val="subscript"/>
        <sz val="8"/>
        <rFont val="Verdana"/>
        <family val="2"/>
      </rPr>
      <t>W;aux;P</t>
    </r>
  </si>
  <si>
    <r>
      <t>W</t>
    </r>
    <r>
      <rPr>
        <vertAlign val="subscript"/>
        <sz val="8"/>
        <rFont val="Verdana"/>
        <family val="2"/>
      </rPr>
      <t>C;aux;P</t>
    </r>
  </si>
  <si>
    <r>
      <t>W</t>
    </r>
    <r>
      <rPr>
        <vertAlign val="subscript"/>
        <sz val="8"/>
        <rFont val="Verdana"/>
        <family val="2"/>
      </rPr>
      <t>H;aux;P</t>
    </r>
  </si>
  <si>
    <r>
      <t>A</t>
    </r>
    <r>
      <rPr>
        <vertAlign val="subscript"/>
        <sz val="8"/>
        <rFont val="Verdana"/>
        <family val="2"/>
      </rPr>
      <t>g;tot</t>
    </r>
  </si>
  <si>
    <r>
      <t>A</t>
    </r>
    <r>
      <rPr>
        <vertAlign val="subscript"/>
        <sz val="8"/>
        <rFont val="Verdana"/>
        <family val="2"/>
      </rPr>
      <t>ls</t>
    </r>
  </si>
  <si>
    <r>
      <t>E</t>
    </r>
    <r>
      <rPr>
        <vertAlign val="subscript"/>
        <sz val="8"/>
        <rFont val="Verdana"/>
        <family val="2"/>
      </rPr>
      <t>Ptot</t>
    </r>
  </si>
  <si>
    <r>
      <t>E</t>
    </r>
    <r>
      <rPr>
        <vertAlign val="subscript"/>
        <sz val="8"/>
        <rFont val="Verdana"/>
        <family val="2"/>
      </rPr>
      <t>P;adm;tot;nb</t>
    </r>
  </si>
  <si>
    <r>
      <t>f</t>
    </r>
    <r>
      <rPr>
        <vertAlign val="subscript"/>
        <sz val="8"/>
        <rFont val="Verdana"/>
        <family val="2"/>
      </rPr>
      <t>g;adm;nb</t>
    </r>
  </si>
  <si>
    <r>
      <t>f</t>
    </r>
    <r>
      <rPr>
        <vertAlign val="subscript"/>
        <sz val="8"/>
        <rFont val="Verdana"/>
        <family val="2"/>
      </rPr>
      <t>ls;adm;nb</t>
    </r>
  </si>
  <si>
    <r>
      <t>f</t>
    </r>
    <r>
      <rPr>
        <vertAlign val="subscript"/>
        <sz val="8"/>
        <rFont val="Verdana"/>
        <family val="2"/>
      </rPr>
      <t>start;adm;nb</t>
    </r>
  </si>
  <si>
    <r>
      <t>C</t>
    </r>
    <r>
      <rPr>
        <vertAlign val="subscript"/>
        <sz val="8"/>
        <rFont val="Verdana"/>
        <family val="2"/>
      </rPr>
      <t>epc</t>
    </r>
  </si>
  <si>
    <r>
      <t>N</t>
    </r>
    <r>
      <rPr>
        <vertAlign val="subscript"/>
        <sz val="8"/>
        <rFont val="Verdana"/>
        <family val="2"/>
      </rPr>
      <t>W</t>
    </r>
  </si>
  <si>
    <r>
      <t>EPC</t>
    </r>
    <r>
      <rPr>
        <vertAlign val="subscript"/>
        <sz val="8"/>
        <rFont val="Verdana"/>
        <family val="2"/>
      </rPr>
      <t>eis</t>
    </r>
  </si>
  <si>
    <r>
      <t>EP</t>
    </r>
    <r>
      <rPr>
        <vertAlign val="subscript"/>
        <sz val="8"/>
        <rFont val="Verdana"/>
        <family val="2"/>
      </rPr>
      <t>corr;excl dz</t>
    </r>
  </si>
  <si>
    <t>Resultaten Energieprestatie berekening</t>
  </si>
  <si>
    <t>Omrekenen tbv. Active House</t>
  </si>
  <si>
    <t>Jaarlijkse hoeveelheid primaire energie</t>
  </si>
  <si>
    <r>
      <t>A</t>
    </r>
    <r>
      <rPr>
        <vertAlign val="subscript"/>
        <sz val="8"/>
        <rFont val="Verdana"/>
        <family val="2"/>
      </rPr>
      <t>g</t>
    </r>
    <r>
      <rPr>
        <sz val="8"/>
        <rFont val="Verdana"/>
        <family val="2"/>
      </rPr>
      <t xml:space="preserve"> gewogen gemiddelde correctiefactor</t>
    </r>
  </si>
  <si>
    <t>Berekening conform NEN 7120:2011/C5:2014</t>
  </si>
  <si>
    <t>Energieprestatie (ter controle)</t>
  </si>
  <si>
    <t>totaal equivalent aardgasgebruik</t>
  </si>
  <si>
    <t>totaal equivalent electriciteitsgebruik</t>
  </si>
  <si>
    <t>variant</t>
  </si>
  <si>
    <t>verbrandingswaarde aardgas op de bovenwaarde</t>
  </si>
  <si>
    <t>MJ/m³</t>
  </si>
  <si>
    <t>2.1.1 Jaarlijkse energievraag</t>
  </si>
  <si>
    <t>2.2.1 Bron van de energievoorziening</t>
  </si>
  <si>
    <t>2.3.1 Jaarlijkse energieprestatie</t>
  </si>
  <si>
    <t>u130754aa</t>
  </si>
  <si>
    <t>Hooghkamer Voorhout</t>
  </si>
  <si>
    <t>tapwater</t>
  </si>
  <si>
    <t>niet-gebouwgebonden apparatuur (stelpost)</t>
  </si>
  <si>
    <r>
      <t>E</t>
    </r>
    <r>
      <rPr>
        <vertAlign val="subscript"/>
        <sz val="8"/>
        <rFont val="Verdana"/>
        <family val="2"/>
      </rPr>
      <t>Etot;excl dz</t>
    </r>
  </si>
  <si>
    <t>NDE</t>
  </si>
  <si>
    <r>
      <t>E</t>
    </r>
    <r>
      <rPr>
        <vertAlign val="subscript"/>
        <sz val="8"/>
        <rFont val="Verdana"/>
        <family val="2"/>
      </rPr>
      <t>ptot;corr</t>
    </r>
  </si>
  <si>
    <r>
      <t>Q</t>
    </r>
    <r>
      <rPr>
        <vertAlign val="subscript"/>
        <sz val="8"/>
        <rFont val="Verdana"/>
        <family val="2"/>
      </rPr>
      <t>budget</t>
    </r>
    <r>
      <rPr>
        <sz val="8"/>
        <rFont val="Verdana"/>
        <family val="2"/>
      </rPr>
      <t>=E</t>
    </r>
    <r>
      <rPr>
        <vertAlign val="subscript"/>
        <sz val="8"/>
        <rFont val="Verdana"/>
        <family val="2"/>
      </rPr>
      <t>P;adm;tot;nb</t>
    </r>
    <r>
      <rPr>
        <sz val="8"/>
        <rFont val="Verdana"/>
        <family val="2"/>
      </rPr>
      <t>/EPC</t>
    </r>
    <r>
      <rPr>
        <vertAlign val="subscript"/>
        <sz val="8"/>
        <rFont val="Verdana"/>
        <family val="2"/>
      </rPr>
      <t>eis</t>
    </r>
  </si>
  <si>
    <r>
      <t>EP</t>
    </r>
    <r>
      <rPr>
        <vertAlign val="subscript"/>
        <sz val="8"/>
        <rFont val="Verdana"/>
        <family val="2"/>
      </rPr>
      <t>corr</t>
    </r>
  </si>
  <si>
    <t>Active House score</t>
  </si>
  <si>
    <t>Conversie EPC naar Active House criteria V1.0</t>
  </si>
  <si>
    <t>Inleiding</t>
  </si>
  <si>
    <t>Omrekenen naar Active House specificaties</t>
  </si>
  <si>
    <t>De energiespecificaties van Active House bestaan uit verschillende onderdelen. Voor de jaarlijkse energievraag (2.1.1) en de jaarlijkse energieprestatie (2.3.1) wordt de energieprestatieberekening (EPG) volgens NEN 7120 als basis gebruikt.
De Active House specificaties vragen echter om het energiegebruik per m2 BVO terwijl de EPG berekening ook compenseert voor het verliesoppervlak: de hoeveelheid wanden, vloeren en daken die grenzen aan buitenlucht. Voor de jaarlijkse energievraag wordt bovendien gecompenseerd voor netverliezen van het elektriciteitsnet. Om de EPG berekening toch als basis te kunnen gebruiken voor de Active House specificaties, kunt u onderstaande omrekentool invullen. 
U dient alleen de gele vlakken in te voeren, deze waardes vindt u in de uitdraai van de EPG berekening. Onderaan vindt u de scores die behaald worden voor Active House.</t>
  </si>
  <si>
    <t>Invoer oppervlakten</t>
  </si>
  <si>
    <t>Invoer resultaten Energieprestatie berekening</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</si>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</sst>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
    <numFmt numFmtId="165" formatCode="0.0\ &quot;m²&quot;"/>
    <numFmt numFmtId="166" formatCode="0\ &quot;kWh/m²&quot;"/>
    <numFmt numFmtId="167" formatCode="_-* #,##0.00_-;_-* #,##0.00\-;_-* &quot;-&quot;??_-;_-@_-"/>
    <numFmt numFmtId="168" formatCode="_-&quot;€&quot;\ * #,##0.00_-;_-&quot;€&quot;\ * #,##0.00\-;_-&quot;€&quot;\ * &quot;-&quot;??_-;_-@_-"/>
    <numFmt numFmtId="169" formatCode="#,##0\ &quot;MJ&quot;"/>
    <numFmt numFmtId="170" formatCode="#,##0\ &quot;m³&quot;"/>
    <numFmt numFmtId="171" formatCode="#,##0\ &quot;kWh&quot;"/>
    <numFmt numFmtId="172" formatCode="0.000"/>
    <numFmt numFmtId="173" formatCode="[$-413]d\ mmmm\ yyyy;@"/>
  </numFmts>
  <fonts count="16" x14ac:knownFonts="1">
    <font>
      <sz val="11"/>
      <color theme="1"/>
      <name val="Calibri"/>
      <family val="2"/>
      <scheme val="minor"/>
    </font>
    <font>
      <sz val="10"/>
      <name val="Verdana"/>
      <family val="2"/>
    </font>
    <font>
      <b/>
      <sz val="10"/>
      <name val="Verdana"/>
      <family val="2"/>
    </font>
    <font>
      <sz val="10"/>
      <name val="Arial"/>
      <family val="2"/>
    </font>
    <font>
      <b/>
      <sz val="14"/>
      <name val="Verdana"/>
      <family val="2"/>
    </font>
    <font>
      <sz val="12"/>
      <name val="Verdana"/>
      <family val="2"/>
    </font>
    <font>
      <b/>
      <sz val="11"/>
      <color theme="0"/>
      <name val="Verdana"/>
      <family val="2"/>
    </font>
    <font>
      <sz val="8"/>
      <name val="Verdana"/>
      <family val="2"/>
    </font>
    <font>
      <b/>
      <sz val="9"/>
      <color theme="0"/>
      <name val="Verdana"/>
      <family val="2"/>
    </font>
    <font>
      <b/>
      <sz val="8"/>
      <name val="Verdana"/>
      <family val="2"/>
    </font>
    <font>
      <sz val="8"/>
      <color rgb="FFFF0000"/>
      <name val="Verdana"/>
      <family val="2"/>
    </font>
    <font>
      <b/>
      <sz val="8"/>
      <color theme="0"/>
      <name val="Verdana"/>
      <family val="2"/>
    </font>
    <font>
      <vertAlign val="subscript"/>
      <sz val="8"/>
      <name val="Verdana"/>
      <family val="2"/>
    </font>
    <font>
      <b/>
      <sz val="9"/>
      <name val="Verdana"/>
      <family val="2"/>
    </font>
    <font>
      <b/>
      <sz val="11"/>
      <name val="Verdana"/>
      <family val="2"/>
    </font>
    <font>
      <sz val="12"/>
      <color rgb="FFFF0000"/>
      <name val="Verdana"/>
      <family val="2"/>
    </font>
  </fonts>
  <fills count="6">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rgb="FF008FC1"/>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3" fillId="0" borderId="0"/>
    <xf numFmtId="167" fontId="3" fillId="0" borderId="0" applyFont="0" applyFill="0" applyBorder="0" applyAlignment="0" applyProtection="0"/>
    <xf numFmtId="168" fontId="3" fillId="0" borderId="0" applyFont="0" applyFill="0" applyBorder="0" applyAlignment="0" applyProtection="0"/>
  </cellStyleXfs>
  <cellXfs count="163">
    <xf numFmtId="0" fontId="0" fillId="0" borderId="0" xfId="0"/>
    <xf numFmtId="0" fontId="1" fillId="0" borderId="0" xfId="0" applyFont="1" applyAlignment="1"/>
    <xf numFmtId="0" fontId="7" fillId="0" borderId="0" xfId="1" applyFont="1" applyAlignment="1">
      <alignment horizontal="left"/>
    </xf>
    <xf numFmtId="0" fontId="7" fillId="0" borderId="0" xfId="1" applyFont="1" applyFill="1" applyAlignment="1">
      <alignment horizontal="left"/>
    </xf>
    <xf numFmtId="0" fontId="7" fillId="3" borderId="0" xfId="1" applyFont="1" applyFill="1" applyBorder="1"/>
    <xf numFmtId="49" fontId="7" fillId="3" borderId="0" xfId="1" applyNumberFormat="1" applyFont="1" applyFill="1" applyBorder="1" applyAlignment="1" applyProtection="1">
      <alignment vertical="center"/>
      <protection locked="0"/>
    </xf>
    <xf numFmtId="49" fontId="7" fillId="3" borderId="3" xfId="1" applyNumberFormat="1" applyFont="1" applyFill="1" applyBorder="1" applyAlignment="1" applyProtection="1">
      <alignment vertical="center"/>
      <protection locked="0"/>
    </xf>
    <xf numFmtId="0" fontId="9" fillId="3" borderId="0" xfId="1" applyFont="1" applyFill="1" applyBorder="1"/>
    <xf numFmtId="0" fontId="7" fillId="0" borderId="0" xfId="1" applyFont="1" applyFill="1" applyBorder="1"/>
    <xf numFmtId="49" fontId="4" fillId="3" borderId="0" xfId="1" applyNumberFormat="1" applyFont="1" applyFill="1" applyBorder="1" applyAlignment="1" applyProtection="1">
      <alignment horizontal="left" vertical="center"/>
      <protection locked="0"/>
    </xf>
    <xf numFmtId="0" fontId="5" fillId="3" borderId="0" xfId="1" applyFont="1" applyFill="1" applyBorder="1"/>
    <xf numFmtId="49" fontId="6" fillId="4" borderId="2" xfId="1" applyNumberFormat="1" applyFont="1" applyFill="1" applyBorder="1" applyAlignment="1" applyProtection="1">
      <alignment horizontal="left" vertical="center"/>
      <protection locked="0"/>
    </xf>
    <xf numFmtId="49" fontId="8" fillId="4" borderId="2" xfId="1" applyNumberFormat="1" applyFont="1" applyFill="1" applyBorder="1" applyAlignment="1" applyProtection="1">
      <alignment vertical="center"/>
      <protection locked="0"/>
    </xf>
    <xf numFmtId="0" fontId="8" fillId="4" borderId="2" xfId="1" applyFont="1" applyFill="1" applyBorder="1"/>
    <xf numFmtId="166" fontId="9" fillId="0" borderId="0" xfId="1" applyNumberFormat="1" applyFont="1" applyFill="1" applyBorder="1" applyAlignment="1">
      <alignment horizontal="right" vertical="center"/>
    </xf>
    <xf numFmtId="0" fontId="7" fillId="0" borderId="0" xfId="1" applyFont="1"/>
    <xf numFmtId="0" fontId="9" fillId="0" borderId="0" xfId="1" applyFont="1"/>
    <xf numFmtId="0" fontId="7" fillId="0" borderId="0" xfId="1" applyFont="1" applyFill="1"/>
    <xf numFmtId="0" fontId="6" fillId="4" borderId="2" xfId="1" applyFont="1" applyFill="1" applyBorder="1" applyAlignment="1" applyProtection="1">
      <alignment vertical="center"/>
      <protection locked="0"/>
    </xf>
    <xf numFmtId="0" fontId="7" fillId="3" borderId="0" xfId="1" applyFont="1" applyFill="1" applyAlignment="1" applyProtection="1">
      <alignment vertical="center"/>
      <protection locked="0"/>
    </xf>
    <xf numFmtId="0" fontId="7" fillId="3" borderId="3" xfId="1" applyFont="1" applyFill="1" applyBorder="1" applyAlignment="1" applyProtection="1">
      <alignment vertical="center"/>
      <protection locked="0"/>
    </xf>
    <xf numFmtId="49" fontId="9" fillId="3" borderId="0" xfId="1" applyNumberFormat="1" applyFont="1" applyFill="1" applyBorder="1" applyAlignment="1" applyProtection="1">
      <alignment horizontal="left" vertical="center"/>
      <protection locked="0"/>
    </xf>
    <xf numFmtId="49" fontId="11" fillId="4" borderId="2" xfId="1" applyNumberFormat="1" applyFont="1" applyFill="1" applyBorder="1" applyAlignment="1" applyProtection="1">
      <alignment horizontal="left" vertical="center"/>
      <protection locked="0"/>
    </xf>
    <xf numFmtId="49" fontId="11" fillId="4" borderId="2" xfId="1" applyNumberFormat="1" applyFont="1" applyFill="1" applyBorder="1" applyAlignment="1" applyProtection="1">
      <alignment vertical="center"/>
      <protection locked="0"/>
    </xf>
    <xf numFmtId="0" fontId="7" fillId="0" borderId="0" xfId="0" applyFont="1" applyAlignment="1"/>
    <xf numFmtId="49" fontId="7" fillId="0" borderId="0" xfId="1" applyNumberFormat="1" applyFont="1" applyFill="1" applyBorder="1" applyAlignment="1" applyProtection="1">
      <alignment vertical="center"/>
      <protection locked="0"/>
    </xf>
    <xf numFmtId="165" fontId="7" fillId="0" borderId="0" xfId="1" applyNumberFormat="1" applyFont="1" applyFill="1" applyBorder="1" applyAlignment="1">
      <alignment horizontal="right"/>
    </xf>
    <xf numFmtId="0" fontId="7" fillId="0" borderId="0" xfId="0" applyFont="1"/>
    <xf numFmtId="0" fontId="7" fillId="0" borderId="0" xfId="0" applyFont="1" applyAlignment="1">
      <alignment horizontal="right"/>
    </xf>
    <xf numFmtId="0" fontId="9" fillId="0" borderId="0" xfId="0" applyFont="1" applyAlignment="1"/>
    <xf numFmtId="0" fontId="11" fillId="4" borderId="2" xfId="1" applyFont="1" applyFill="1" applyBorder="1" applyAlignment="1">
      <alignment vertical="center" wrapText="1"/>
    </xf>
    <xf numFmtId="3" fontId="7" fillId="0" borderId="0" xfId="0" applyNumberFormat="1" applyFont="1" applyAlignment="1"/>
    <xf numFmtId="3" fontId="7" fillId="0" borderId="0" xfId="0" applyNumberFormat="1" applyFont="1" applyFill="1" applyAlignment="1"/>
    <xf numFmtId="0" fontId="7" fillId="0" borderId="0" xfId="0" applyFont="1" applyFill="1" applyAlignment="1"/>
    <xf numFmtId="2" fontId="10" fillId="2" borderId="0" xfId="0" applyNumberFormat="1" applyFont="1" applyFill="1" applyAlignment="1"/>
    <xf numFmtId="2" fontId="7" fillId="0" borderId="0" xfId="0" applyNumberFormat="1" applyFont="1" applyAlignment="1"/>
    <xf numFmtId="0" fontId="7" fillId="0" borderId="0" xfId="0" quotePrefix="1" applyFont="1" applyAlignment="1"/>
    <xf numFmtId="0" fontId="10" fillId="0" borderId="0" xfId="0" applyFont="1" applyAlignment="1"/>
    <xf numFmtId="169" fontId="7" fillId="3" borderId="0" xfId="1" applyNumberFormat="1" applyFont="1" applyFill="1" applyBorder="1" applyAlignment="1">
      <alignment horizontal="right"/>
    </xf>
    <xf numFmtId="172" fontId="7" fillId="0" borderId="0" xfId="0" applyNumberFormat="1" applyFont="1" applyFill="1" applyBorder="1" applyAlignment="1"/>
    <xf numFmtId="0" fontId="9" fillId="0" borderId="1" xfId="0" applyFont="1" applyBorder="1" applyAlignment="1">
      <alignment horizontal="right"/>
    </xf>
    <xf numFmtId="0" fontId="7" fillId="0" borderId="0" xfId="0" quotePrefix="1" applyFont="1" applyFill="1" applyBorder="1" applyAlignment="1"/>
    <xf numFmtId="0" fontId="1" fillId="0" borderId="0" xfId="1" applyFont="1" applyFill="1" applyBorder="1" applyAlignment="1" applyProtection="1">
      <alignment vertical="center"/>
      <protection locked="0"/>
    </xf>
    <xf numFmtId="0" fontId="7" fillId="0" borderId="0" xfId="1" applyFont="1" applyFill="1" applyBorder="1" applyAlignment="1" applyProtection="1">
      <alignment vertical="center"/>
      <protection locked="0"/>
    </xf>
    <xf numFmtId="0" fontId="9" fillId="0" borderId="0" xfId="1" applyFont="1" applyFill="1" applyBorder="1"/>
    <xf numFmtId="0" fontId="7" fillId="0" borderId="0" xfId="0" applyFont="1" applyAlignment="1">
      <alignment horizontal="left" vertical="center"/>
    </xf>
    <xf numFmtId="3" fontId="7" fillId="2" borderId="0" xfId="0" applyNumberFormat="1" applyFont="1" applyFill="1" applyAlignment="1"/>
    <xf numFmtId="3" fontId="7" fillId="2" borderId="3" xfId="0" applyNumberFormat="1" applyFont="1" applyFill="1" applyBorder="1" applyAlignment="1"/>
    <xf numFmtId="4" fontId="7" fillId="2" borderId="0" xfId="0" applyNumberFormat="1" applyFont="1" applyFill="1" applyAlignment="1"/>
    <xf numFmtId="4" fontId="7" fillId="0" borderId="0" xfId="0" applyNumberFormat="1" applyFont="1" applyFill="1" applyAlignment="1"/>
    <xf numFmtId="3" fontId="7" fillId="0" borderId="0" xfId="0" applyNumberFormat="1" applyFont="1" applyFill="1" applyBorder="1" applyAlignment="1"/>
    <xf numFmtId="3" fontId="7" fillId="2" borderId="0" xfId="1" applyNumberFormat="1" applyFont="1" applyFill="1"/>
    <xf numFmtId="3" fontId="7" fillId="3" borderId="4" xfId="1" applyNumberFormat="1" applyFont="1" applyFill="1" applyBorder="1" applyAlignment="1">
      <alignment horizontal="right"/>
    </xf>
    <xf numFmtId="0" fontId="9" fillId="0" borderId="0" xfId="0" applyFont="1" applyBorder="1" applyAlignment="1">
      <alignment horizontal="right"/>
    </xf>
    <xf numFmtId="173" fontId="7" fillId="0" borderId="3" xfId="1" applyNumberFormat="1" applyFont="1" applyFill="1" applyBorder="1" applyAlignment="1">
      <alignment horizontal="left"/>
    </xf>
    <xf numFmtId="165" fontId="7" fillId="0" borderId="0" xfId="1" applyNumberFormat="1" applyFont="1" applyFill="1" applyBorder="1" applyAlignment="1">
      <alignment horizontal="left"/>
    </xf>
    <xf numFmtId="0" fontId="7" fillId="0" borderId="3" xfId="0" applyFont="1" applyBorder="1" applyAlignment="1"/>
    <xf numFmtId="4" fontId="7" fillId="2" borderId="3" xfId="0" applyNumberFormat="1" applyFont="1" applyFill="1" applyBorder="1" applyAlignment="1"/>
    <xf numFmtId="0" fontId="7" fillId="3" borderId="3" xfId="1" applyFont="1" applyFill="1" applyBorder="1"/>
    <xf numFmtId="0" fontId="7" fillId="0" borderId="3" xfId="0" quotePrefix="1" applyFont="1" applyBorder="1" applyAlignment="1"/>
    <xf numFmtId="2" fontId="7" fillId="0" borderId="3" xfId="0" applyNumberFormat="1" applyFont="1" applyFill="1" applyBorder="1" applyAlignment="1"/>
    <xf numFmtId="0" fontId="7" fillId="0" borderId="0" xfId="0" applyFont="1" applyAlignment="1">
      <alignment horizontal="left" vertical="top" wrapText="1"/>
    </xf>
    <xf numFmtId="9" fontId="7" fillId="0" borderId="0" xfId="0" applyNumberFormat="1" applyFont="1" applyFill="1" applyBorder="1" applyAlignment="1">
      <alignment horizontal="right"/>
    </xf>
    <xf numFmtId="0" fontId="9" fillId="0" borderId="0" xfId="0" applyFont="1" applyFill="1" applyBorder="1" applyAlignment="1">
      <alignment horizontal="right"/>
    </xf>
    <xf numFmtId="49" fontId="8" fillId="4" borderId="4" xfId="1" applyNumberFormat="1" applyFont="1" applyFill="1" applyBorder="1" applyAlignment="1" applyProtection="1">
      <alignment vertical="center"/>
      <protection locked="0"/>
    </xf>
    <xf numFmtId="49" fontId="11" fillId="4" borderId="4" xfId="1" applyNumberFormat="1" applyFont="1" applyFill="1" applyBorder="1" applyAlignment="1" applyProtection="1">
      <alignment vertical="center"/>
      <protection locked="0"/>
    </xf>
    <xf numFmtId="0" fontId="9" fillId="0" borderId="0" xfId="0" applyFont="1" applyFill="1" applyBorder="1" applyAlignment="1"/>
    <xf numFmtId="0" fontId="15" fillId="3" borderId="0" xfId="1" applyFont="1" applyFill="1" applyBorder="1"/>
    <xf numFmtId="0" fontId="10" fillId="0" borderId="0" xfId="1" applyFont="1" applyFill="1" applyBorder="1"/>
    <xf numFmtId="164" fontId="7" fillId="0" borderId="0" xfId="0" applyNumberFormat="1" applyFont="1" applyFill="1" applyBorder="1" applyAlignment="1"/>
    <xf numFmtId="0" fontId="7" fillId="0" borderId="0" xfId="0" applyFont="1" applyAlignment="1"/>
    <xf numFmtId="0" fontId="7" fillId="0" borderId="0" xfId="0" applyFont="1"/>
    <xf numFmtId="0" fontId="9" fillId="0" borderId="0" xfId="0" applyFont="1" applyAlignment="1"/>
    <xf numFmtId="3" fontId="7" fillId="0" borderId="0" xfId="0" applyNumberFormat="1" applyFont="1" applyAlignment="1"/>
    <xf numFmtId="0" fontId="7" fillId="0" borderId="0" xfId="0" quotePrefix="1" applyFont="1" applyAlignment="1"/>
    <xf numFmtId="0" fontId="7" fillId="0" borderId="0" xfId="0" applyFont="1" applyAlignment="1">
      <alignment horizontal="left"/>
    </xf>
    <xf numFmtId="0" fontId="9" fillId="0" borderId="1" xfId="0" applyFont="1" applyBorder="1" applyAlignment="1">
      <alignment horizontal="right"/>
    </xf>
    <xf numFmtId="164" fontId="7" fillId="2" borderId="0" xfId="0" applyNumberFormat="1" applyFont="1" applyFill="1" applyAlignment="1"/>
    <xf numFmtId="0" fontId="7" fillId="3" borderId="0" xfId="1" applyFont="1" applyFill="1" applyBorder="1" applyProtection="1"/>
    <xf numFmtId="0" fontId="7" fillId="0" borderId="0" xfId="1" applyFont="1" applyFill="1" applyBorder="1" applyProtection="1"/>
    <xf numFmtId="49" fontId="4" fillId="3" borderId="0" xfId="1" applyNumberFormat="1" applyFont="1" applyFill="1" applyBorder="1" applyAlignment="1" applyProtection="1">
      <alignment horizontal="left" vertical="center"/>
    </xf>
    <xf numFmtId="49" fontId="9" fillId="3" borderId="0" xfId="1" applyNumberFormat="1" applyFont="1" applyFill="1" applyBorder="1" applyAlignment="1" applyProtection="1">
      <alignment horizontal="left" vertical="center"/>
    </xf>
    <xf numFmtId="0" fontId="5" fillId="3" borderId="0" xfId="1" applyFont="1" applyFill="1" applyBorder="1" applyProtection="1"/>
    <xf numFmtId="0" fontId="1" fillId="0" borderId="0" xfId="0" applyFont="1" applyFill="1" applyBorder="1" applyAlignment="1" applyProtection="1">
      <alignment vertical="center"/>
    </xf>
    <xf numFmtId="0" fontId="1" fillId="0" borderId="0" xfId="0" applyFont="1" applyFill="1" applyBorder="1" applyAlignment="1" applyProtection="1"/>
    <xf numFmtId="3" fontId="1" fillId="0" borderId="0" xfId="0" applyNumberFormat="1" applyFont="1" applyFill="1" applyBorder="1" applyAlignment="1" applyProtection="1"/>
    <xf numFmtId="49" fontId="14" fillId="0" borderId="0" xfId="1" applyNumberFormat="1" applyFont="1" applyFill="1" applyBorder="1" applyAlignment="1" applyProtection="1">
      <alignment horizontal="left" vertical="center"/>
    </xf>
    <xf numFmtId="0" fontId="14" fillId="0" borderId="0" xfId="1" applyFont="1" applyFill="1" applyBorder="1" applyAlignment="1" applyProtection="1">
      <alignment vertical="center"/>
    </xf>
    <xf numFmtId="0" fontId="1" fillId="0" borderId="0" xfId="1" applyFont="1" applyFill="1" applyBorder="1" applyAlignment="1" applyProtection="1">
      <alignment vertical="center"/>
    </xf>
    <xf numFmtId="49" fontId="7" fillId="0" borderId="0" xfId="1" applyNumberFormat="1" applyFont="1" applyFill="1" applyBorder="1" applyAlignment="1" applyProtection="1">
      <alignment horizontal="left" vertical="center"/>
    </xf>
    <xf numFmtId="0" fontId="7" fillId="0" borderId="0" xfId="1" applyFont="1" applyFill="1" applyBorder="1" applyAlignment="1" applyProtection="1">
      <alignment vertical="center"/>
    </xf>
    <xf numFmtId="0" fontId="13" fillId="0" borderId="0" xfId="1" applyFont="1" applyFill="1" applyBorder="1" applyAlignment="1" applyProtection="1"/>
    <xf numFmtId="0" fontId="13" fillId="0" borderId="0" xfId="1" applyFont="1" applyFill="1" applyBorder="1" applyProtection="1"/>
    <xf numFmtId="49" fontId="7" fillId="3" borderId="0" xfId="1" applyNumberFormat="1" applyFont="1" applyFill="1" applyBorder="1" applyAlignment="1" applyProtection="1">
      <alignment vertical="center"/>
    </xf>
    <xf numFmtId="0" fontId="7" fillId="0" borderId="0" xfId="0" applyFont="1" applyAlignment="1" applyProtection="1"/>
    <xf numFmtId="49" fontId="7" fillId="3" borderId="3" xfId="1" applyNumberFormat="1" applyFont="1" applyFill="1" applyBorder="1" applyAlignment="1" applyProtection="1">
      <alignment vertical="center"/>
    </xf>
    <xf numFmtId="0" fontId="7" fillId="0" borderId="3" xfId="0" applyFont="1" applyBorder="1" applyAlignment="1" applyProtection="1"/>
    <xf numFmtId="0" fontId="7" fillId="3" borderId="3" xfId="1" applyFont="1" applyFill="1" applyBorder="1" applyProtection="1"/>
    <xf numFmtId="49" fontId="7" fillId="0" borderId="0" xfId="1" applyNumberFormat="1" applyFont="1" applyFill="1" applyBorder="1" applyAlignment="1" applyProtection="1">
      <alignment vertical="center"/>
    </xf>
    <xf numFmtId="165" fontId="7" fillId="0" borderId="0" xfId="1" applyNumberFormat="1" applyFont="1" applyFill="1" applyBorder="1" applyAlignment="1" applyProtection="1">
      <alignment horizontal="right"/>
    </xf>
    <xf numFmtId="0" fontId="9" fillId="0" borderId="0" xfId="1" applyFont="1" applyProtection="1"/>
    <xf numFmtId="0" fontId="9" fillId="3" borderId="0" xfId="1" applyFont="1" applyFill="1" applyBorder="1" applyProtection="1"/>
    <xf numFmtId="166" fontId="9" fillId="0" borderId="0" xfId="1" applyNumberFormat="1" applyFont="1" applyFill="1" applyBorder="1" applyAlignment="1" applyProtection="1">
      <alignment horizontal="right" vertical="center"/>
    </xf>
    <xf numFmtId="0" fontId="9" fillId="0" borderId="0" xfId="1" applyFont="1" applyFill="1" applyBorder="1" applyProtection="1"/>
    <xf numFmtId="0" fontId="2" fillId="0" borderId="0" xfId="0" applyFont="1" applyFill="1" applyBorder="1" applyAlignment="1" applyProtection="1"/>
    <xf numFmtId="3" fontId="2" fillId="0" borderId="0" xfId="0" applyNumberFormat="1" applyFont="1" applyFill="1" applyBorder="1" applyAlignment="1" applyProtection="1"/>
    <xf numFmtId="0" fontId="7" fillId="0" borderId="0" xfId="1" applyFont="1" applyFill="1" applyAlignment="1" applyProtection="1"/>
    <xf numFmtId="0" fontId="7" fillId="0" borderId="0" xfId="0" applyFont="1" applyAlignment="1" applyProtection="1">
      <alignment horizontal="left"/>
    </xf>
    <xf numFmtId="0" fontId="7" fillId="0" borderId="0" xfId="1" applyFont="1" applyAlignment="1" applyProtection="1">
      <alignment horizontal="left"/>
    </xf>
    <xf numFmtId="0" fontId="7" fillId="0" borderId="0" xfId="1" applyFont="1" applyFill="1" applyAlignment="1" applyProtection="1">
      <alignment horizontal="left"/>
    </xf>
    <xf numFmtId="0" fontId="7" fillId="0" borderId="0" xfId="1" applyFont="1" applyAlignment="1" applyProtection="1"/>
    <xf numFmtId="3" fontId="7" fillId="3" borderId="4" xfId="1" applyNumberFormat="1" applyFont="1" applyFill="1" applyBorder="1" applyAlignment="1" applyProtection="1">
      <alignment horizontal="right"/>
    </xf>
    <xf numFmtId="169" fontId="7" fillId="3" borderId="0" xfId="1" applyNumberFormat="1" applyFont="1" applyFill="1" applyBorder="1" applyAlignment="1" applyProtection="1">
      <alignment horizontal="right"/>
    </xf>
    <xf numFmtId="0" fontId="7" fillId="0" borderId="0" xfId="1" applyFont="1" applyProtection="1"/>
    <xf numFmtId="0" fontId="7" fillId="0" borderId="0" xfId="0" applyFont="1" applyProtection="1"/>
    <xf numFmtId="170" fontId="7" fillId="0" borderId="0" xfId="1" applyNumberFormat="1" applyFont="1" applyFill="1" applyBorder="1" applyAlignment="1" applyProtection="1">
      <alignment horizontal="right"/>
    </xf>
    <xf numFmtId="171" fontId="7" fillId="0" borderId="0" xfId="1" applyNumberFormat="1" applyFont="1" applyFill="1" applyBorder="1" applyAlignment="1" applyProtection="1">
      <alignment horizontal="right"/>
    </xf>
    <xf numFmtId="0" fontId="1" fillId="0" borderId="0" xfId="1" applyFont="1" applyFill="1" applyBorder="1" applyProtection="1"/>
    <xf numFmtId="4" fontId="7" fillId="0" borderId="3" xfId="0" applyNumberFormat="1" applyFont="1" applyFill="1" applyBorder="1" applyAlignment="1" applyProtection="1"/>
    <xf numFmtId="3" fontId="7" fillId="0" borderId="0" xfId="0" applyNumberFormat="1" applyFont="1" applyAlignment="1" applyProtection="1"/>
    <xf numFmtId="0" fontId="10" fillId="0" borderId="0" xfId="0" applyFont="1" applyAlignment="1" applyProtection="1"/>
    <xf numFmtId="3" fontId="7" fillId="0" borderId="0" xfId="0" applyNumberFormat="1" applyFont="1" applyFill="1" applyBorder="1" applyAlignment="1" applyProtection="1"/>
    <xf numFmtId="3" fontId="7" fillId="0" borderId="0" xfId="0" applyNumberFormat="1" applyFont="1" applyFill="1" applyAlignment="1" applyProtection="1"/>
    <xf numFmtId="0" fontId="7" fillId="0" borderId="0" xfId="0" applyFont="1" applyFill="1" applyAlignment="1" applyProtection="1"/>
    <xf numFmtId="0" fontId="7" fillId="0" borderId="0" xfId="0" quotePrefix="1" applyFont="1" applyAlignment="1" applyProtection="1"/>
    <xf numFmtId="172" fontId="7" fillId="0" borderId="0" xfId="0" applyNumberFormat="1" applyFont="1" applyFill="1" applyBorder="1" applyAlignment="1" applyProtection="1"/>
    <xf numFmtId="2" fontId="7" fillId="0" borderId="3" xfId="0" applyNumberFormat="1" applyFont="1" applyFill="1" applyBorder="1" applyAlignment="1" applyProtection="1"/>
    <xf numFmtId="0" fontId="7" fillId="0" borderId="3" xfId="0" quotePrefix="1" applyFont="1" applyBorder="1" applyAlignment="1" applyProtection="1"/>
    <xf numFmtId="3" fontId="10" fillId="0" borderId="0" xfId="0" applyNumberFormat="1" applyFont="1" applyAlignment="1" applyProtection="1"/>
    <xf numFmtId="2" fontId="7" fillId="0" borderId="0" xfId="0" applyNumberFormat="1" applyFont="1" applyAlignment="1" applyProtection="1"/>
    <xf numFmtId="0" fontId="7" fillId="0" borderId="0" xfId="0" applyFont="1" applyFill="1" applyBorder="1" applyAlignment="1" applyProtection="1"/>
    <xf numFmtId="0" fontId="9" fillId="0" borderId="0" xfId="0" applyFont="1" applyAlignment="1" applyProtection="1"/>
    <xf numFmtId="0" fontId="7" fillId="0" borderId="0" xfId="0" quotePrefix="1" applyFont="1" applyFill="1" applyBorder="1" applyAlignment="1" applyProtection="1"/>
    <xf numFmtId="0" fontId="1" fillId="0" borderId="0" xfId="0" applyFont="1" applyAlignment="1" applyProtection="1"/>
    <xf numFmtId="0" fontId="9" fillId="0" borderId="1" xfId="0" applyFont="1" applyBorder="1" applyAlignment="1" applyProtection="1">
      <alignment horizontal="right"/>
    </xf>
    <xf numFmtId="0" fontId="9" fillId="0" borderId="0" xfId="0" applyFont="1" applyBorder="1" applyAlignment="1" applyProtection="1">
      <alignment horizontal="right"/>
    </xf>
    <xf numFmtId="9" fontId="7" fillId="0" borderId="0" xfId="0" applyNumberFormat="1" applyFont="1" applyFill="1" applyBorder="1" applyAlignment="1" applyProtection="1">
      <alignment horizontal="right"/>
    </xf>
    <xf numFmtId="0" fontId="7" fillId="0" borderId="0" xfId="0" applyFont="1" applyAlignment="1" applyProtection="1">
      <alignment horizontal="right"/>
    </xf>
    <xf numFmtId="164" fontId="7" fillId="0" borderId="0" xfId="0" applyNumberFormat="1" applyFont="1" applyFill="1" applyAlignment="1" applyProtection="1"/>
    <xf numFmtId="0" fontId="7" fillId="0" borderId="0" xfId="0" quotePrefix="1" applyFont="1" applyFill="1" applyBorder="1" applyAlignment="1" applyProtection="1">
      <alignment horizontal="left" vertical="center"/>
    </xf>
    <xf numFmtId="0" fontId="10" fillId="0" borderId="0" xfId="1" applyFont="1" applyFill="1" applyBorder="1" applyProtection="1"/>
    <xf numFmtId="0" fontId="9" fillId="0" borderId="0" xfId="0" applyFont="1" applyFill="1" applyBorder="1" applyAlignment="1" applyProtection="1">
      <alignment horizontal="right"/>
    </xf>
    <xf numFmtId="0" fontId="15" fillId="0" borderId="0" xfId="0" applyFont="1" applyFill="1" applyBorder="1" applyAlignment="1" applyProtection="1"/>
    <xf numFmtId="4" fontId="7" fillId="2" borderId="0" xfId="0" applyNumberFormat="1" applyFont="1" applyFill="1" applyAlignment="1" applyProtection="1">
      <protection locked="0"/>
    </xf>
    <xf numFmtId="4" fontId="7" fillId="2" borderId="3" xfId="0" applyNumberFormat="1" applyFont="1" applyFill="1" applyBorder="1" applyAlignment="1" applyProtection="1">
      <protection locked="0"/>
    </xf>
    <xf numFmtId="3" fontId="7" fillId="2" borderId="0" xfId="1" applyNumberFormat="1" applyFont="1" applyFill="1" applyProtection="1">
      <protection locked="0"/>
    </xf>
    <xf numFmtId="3" fontId="7" fillId="2" borderId="0" xfId="0" applyNumberFormat="1" applyFont="1" applyFill="1" applyAlignment="1" applyProtection="1">
      <protection locked="0"/>
    </xf>
    <xf numFmtId="3" fontId="7" fillId="2" borderId="3" xfId="0" applyNumberFormat="1" applyFont="1" applyFill="1" applyBorder="1" applyAlignment="1" applyProtection="1">
      <protection locked="0"/>
    </xf>
    <xf numFmtId="2" fontId="7" fillId="2" borderId="0" xfId="0" applyNumberFormat="1" applyFont="1" applyFill="1" applyAlignment="1" applyProtection="1">
      <protection locked="0"/>
    </xf>
    <xf numFmtId="49" fontId="7" fillId="3" borderId="4" xfId="1" applyNumberFormat="1" applyFont="1" applyFill="1" applyBorder="1" applyAlignment="1" applyProtection="1">
      <alignment vertical="center" wrapText="1"/>
    </xf>
    <xf numFmtId="0" fontId="0" fillId="0" borderId="4" xfId="0" applyBorder="1" applyAlignment="1" applyProtection="1">
      <alignment vertical="center" wrapText="1"/>
    </xf>
    <xf numFmtId="0" fontId="0" fillId="0" borderId="0" xfId="0" applyAlignment="1" applyProtection="1">
      <alignment vertical="center" wrapText="1"/>
    </xf>
    <xf numFmtId="0" fontId="0" fillId="0" borderId="3" xfId="0" applyBorder="1" applyAlignment="1" applyProtection="1">
      <alignment vertical="center" wrapText="1"/>
    </xf>
    <xf numFmtId="49" fontId="6" fillId="5" borderId="2" xfId="1" applyNumberFormat="1" applyFont="1" applyFill="1" applyBorder="1" applyAlignment="1" applyProtection="1">
      <alignment horizontal="left" vertical="center"/>
    </xf>
    <xf numFmtId="49" fontId="11" fillId="5" borderId="2" xfId="1" applyNumberFormat="1" applyFont="1" applyFill="1" applyBorder="1" applyAlignment="1" applyProtection="1">
      <alignment horizontal="left" vertical="center"/>
    </xf>
    <xf numFmtId="0" fontId="6" fillId="5" borderId="2" xfId="1" applyFont="1" applyFill="1" applyBorder="1" applyAlignment="1" applyProtection="1">
      <alignment vertical="center"/>
    </xf>
    <xf numFmtId="49" fontId="8" fillId="5" borderId="2" xfId="1" applyNumberFormat="1" applyFont="1" applyFill="1" applyBorder="1" applyAlignment="1" applyProtection="1">
      <alignment vertical="center"/>
    </xf>
    <xf numFmtId="49" fontId="11" fillId="5" borderId="2" xfId="1" applyNumberFormat="1" applyFont="1" applyFill="1" applyBorder="1" applyAlignment="1" applyProtection="1">
      <alignment vertical="center"/>
    </xf>
    <xf numFmtId="0" fontId="11" fillId="5" borderId="2" xfId="1" applyFont="1" applyFill="1" applyBorder="1" applyAlignment="1" applyProtection="1">
      <alignment vertical="center" wrapText="1"/>
    </xf>
    <xf numFmtId="0" fontId="8" fillId="5" borderId="2" xfId="1" applyFont="1" applyFill="1" applyBorder="1" applyProtection="1"/>
    <xf numFmtId="0" fontId="7" fillId="3" borderId="5" xfId="1" applyFont="1" applyFill="1" applyBorder="1" applyProtection="1"/>
    <xf numFmtId="0" fontId="7" fillId="3" borderId="2" xfId="1" applyFont="1" applyFill="1" applyBorder="1" applyProtection="1"/>
    <xf numFmtId="0" fontId="7" fillId="3" borderId="6" xfId="1" applyFont="1" applyFill="1" applyBorder="1" applyProtection="1"/>
  </cellXfs>
  <cellStyles count="4">
    <cellStyle name="Komma 2" xfId="2"/>
    <cellStyle name="Standaard" xfId="0" builtinId="0"/>
    <cellStyle name="Standaard 2" xfId="1"/>
    <cellStyle name="Valuta 2" xfId="3"/>
  </cellStyles>
  <dxfs count="3">
    <dxf>
      <font>
        <condense val="0"/>
        <extend val="0"/>
        <color indexed="12"/>
      </font>
    </dxf>
    <dxf>
      <font>
        <condense val="0"/>
        <extend val="0"/>
        <color indexed="12"/>
      </font>
    </dxf>
    <dxf>
      <font>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7174103237096E-2"/>
          <c:y val="5.8821657987277141E-2"/>
          <c:w val="0.58853944086864662"/>
          <c:h val="0.90031404166389761"/>
        </c:manualLayout>
      </c:layout>
      <c:lineChart>
        <c:grouping val="standard"/>
        <c:varyColors val="0"/>
        <c:ser>
          <c:idx val="0"/>
          <c:order val="0"/>
          <c:tx>
            <c:strRef>
              <c:f>Rekenvoorbeelden!$A$61</c:f>
              <c:strCache>
                <c:ptCount val="1"/>
                <c:pt idx="0">
                  <c:v>2.1.1 Jaarlijkse energievraag</c:v>
                </c:pt>
              </c:strCache>
            </c:strRef>
          </c:tx>
          <c:marker>
            <c:symbol val="none"/>
          </c:marker>
          <c:cat>
            <c:numRef>
              <c:f>Rekenvoorbeelden!$C$58:$I$58</c:f>
              <c:numCache>
                <c:formatCode>0.00</c:formatCode>
                <c:ptCount val="7"/>
                <c:pt idx="0">
                  <c:v>0.6</c:v>
                </c:pt>
                <c:pt idx="1">
                  <c:v>0.5</c:v>
                </c:pt>
                <c:pt idx="2">
                  <c:v>0.4</c:v>
                </c:pt>
                <c:pt idx="3">
                  <c:v>0.31</c:v>
                </c:pt>
                <c:pt idx="4">
                  <c:v>0.2</c:v>
                </c:pt>
                <c:pt idx="5">
                  <c:v>0.1</c:v>
                </c:pt>
                <c:pt idx="6">
                  <c:v>0</c:v>
                </c:pt>
              </c:numCache>
            </c:numRef>
          </c:cat>
          <c:val>
            <c:numRef>
              <c:f>Rekenvoorbeelden!$C$62:$I$62</c:f>
              <c:numCache>
                <c:formatCode>#,##0</c:formatCode>
                <c:ptCount val="7"/>
                <c:pt idx="0">
                  <c:v>299.52080758137618</c:v>
                </c:pt>
                <c:pt idx="1">
                  <c:v>299.52080758137618</c:v>
                </c:pt>
                <c:pt idx="2">
                  <c:v>299.52080758137618</c:v>
                </c:pt>
                <c:pt idx="3">
                  <c:v>299.52080758137618</c:v>
                </c:pt>
                <c:pt idx="4">
                  <c:v>299.52080758137618</c:v>
                </c:pt>
                <c:pt idx="5">
                  <c:v>299.52080758137618</c:v>
                </c:pt>
                <c:pt idx="6">
                  <c:v>299.52080758137618</c:v>
                </c:pt>
              </c:numCache>
            </c:numRef>
          </c:val>
          <c:smooth val="0"/>
        </c:ser>
        <c:ser>
          <c:idx val="1"/>
          <c:order val="2"/>
          <c:tx>
            <c:strRef>
              <c:f>Rekenvoorbeelden!$A$68</c:f>
              <c:strCache>
                <c:ptCount val="1"/>
                <c:pt idx="0">
                  <c:v>2.3.1 Jaarlijkse energieprestatie</c:v>
                </c:pt>
              </c:strCache>
            </c:strRef>
          </c:tx>
          <c:marker>
            <c:symbol val="none"/>
          </c:marker>
          <c:cat>
            <c:numRef>
              <c:f>Rekenvoorbeelden!$C$58:$I$58</c:f>
              <c:numCache>
                <c:formatCode>0.00</c:formatCode>
                <c:ptCount val="7"/>
                <c:pt idx="0">
                  <c:v>0.6</c:v>
                </c:pt>
                <c:pt idx="1">
                  <c:v>0.5</c:v>
                </c:pt>
                <c:pt idx="2">
                  <c:v>0.4</c:v>
                </c:pt>
                <c:pt idx="3">
                  <c:v>0.31</c:v>
                </c:pt>
                <c:pt idx="4">
                  <c:v>0.2</c:v>
                </c:pt>
                <c:pt idx="5">
                  <c:v>0.1</c:v>
                </c:pt>
                <c:pt idx="6">
                  <c:v>0</c:v>
                </c:pt>
              </c:numCache>
            </c:numRef>
          </c:cat>
          <c:val>
            <c:numRef>
              <c:f>Rekenvoorbeelden!$C$71:$I$71</c:f>
              <c:numCache>
                <c:formatCode>#,##0</c:formatCode>
                <c:ptCount val="7"/>
                <c:pt idx="0">
                  <c:v>335.71658131732295</c:v>
                </c:pt>
                <c:pt idx="1">
                  <c:v>279.76381776443583</c:v>
                </c:pt>
                <c:pt idx="2">
                  <c:v>223.81105421154868</c:v>
                </c:pt>
                <c:pt idx="3">
                  <c:v>168.41781829419034</c:v>
                </c:pt>
                <c:pt idx="4">
                  <c:v>111.90552710577434</c:v>
                </c:pt>
                <c:pt idx="5">
                  <c:v>55.95276355288717</c:v>
                </c:pt>
                <c:pt idx="6">
                  <c:v>-0.55952763552887164</c:v>
                </c:pt>
              </c:numCache>
            </c:numRef>
          </c:val>
          <c:smooth val="0"/>
        </c:ser>
        <c:dLbls>
          <c:showLegendKey val="0"/>
          <c:showVal val="0"/>
          <c:showCatName val="0"/>
          <c:showSerName val="0"/>
          <c:showPercent val="0"/>
          <c:showBubbleSize val="0"/>
        </c:dLbls>
        <c:marker val="1"/>
        <c:smooth val="0"/>
        <c:axId val="71108096"/>
        <c:axId val="71109632"/>
      </c:lineChart>
      <c:lineChart>
        <c:grouping val="standard"/>
        <c:varyColors val="0"/>
        <c:ser>
          <c:idx val="2"/>
          <c:order val="1"/>
          <c:tx>
            <c:strRef>
              <c:f>Rekenvoorbeelden!$A$65</c:f>
              <c:strCache>
                <c:ptCount val="1"/>
                <c:pt idx="0">
                  <c:v>2.2.1 Bron van de energievoorziening</c:v>
                </c:pt>
              </c:strCache>
            </c:strRef>
          </c:tx>
          <c:marker>
            <c:symbol val="none"/>
          </c:marker>
          <c:val>
            <c:numRef>
              <c:f>Rekenvoorbeelden!$C$65:$I$65</c:f>
              <c:numCache>
                <c:formatCode>0%</c:formatCode>
                <c:ptCount val="7"/>
                <c:pt idx="0">
                  <c:v>6.2279490719435497E-2</c:v>
                </c:pt>
                <c:pt idx="1">
                  <c:v>0.22089277496548551</c:v>
                </c:pt>
                <c:pt idx="2">
                  <c:v>0.37858567264917931</c:v>
                </c:pt>
                <c:pt idx="3">
                  <c:v>0.53627857033287318</c:v>
                </c:pt>
                <c:pt idx="4">
                  <c:v>0.6950452523393158</c:v>
                </c:pt>
                <c:pt idx="5">
                  <c:v>0.85365853658536583</c:v>
                </c:pt>
                <c:pt idx="6">
                  <c:v>1</c:v>
                </c:pt>
              </c:numCache>
            </c:numRef>
          </c:val>
          <c:smooth val="0"/>
        </c:ser>
        <c:dLbls>
          <c:showLegendKey val="0"/>
          <c:showVal val="0"/>
          <c:showCatName val="0"/>
          <c:showSerName val="0"/>
          <c:showPercent val="0"/>
          <c:showBubbleSize val="0"/>
        </c:dLbls>
        <c:marker val="1"/>
        <c:smooth val="0"/>
        <c:axId val="71125248"/>
        <c:axId val="71123712"/>
      </c:lineChart>
      <c:catAx>
        <c:axId val="71108096"/>
        <c:scaling>
          <c:orientation val="minMax"/>
        </c:scaling>
        <c:delete val="0"/>
        <c:axPos val="b"/>
        <c:numFmt formatCode="0.00" sourceLinked="1"/>
        <c:majorTickMark val="out"/>
        <c:minorTickMark val="none"/>
        <c:tickLblPos val="nextTo"/>
        <c:crossAx val="71109632"/>
        <c:crosses val="autoZero"/>
        <c:auto val="1"/>
        <c:lblAlgn val="ctr"/>
        <c:lblOffset val="100"/>
        <c:noMultiLvlLbl val="0"/>
      </c:catAx>
      <c:valAx>
        <c:axId val="71109632"/>
        <c:scaling>
          <c:orientation val="minMax"/>
        </c:scaling>
        <c:delete val="0"/>
        <c:axPos val="l"/>
        <c:majorGridlines/>
        <c:numFmt formatCode="#,##0" sourceLinked="1"/>
        <c:majorTickMark val="out"/>
        <c:minorTickMark val="none"/>
        <c:tickLblPos val="nextTo"/>
        <c:crossAx val="71108096"/>
        <c:crosses val="autoZero"/>
        <c:crossBetween val="midCat"/>
      </c:valAx>
      <c:valAx>
        <c:axId val="71123712"/>
        <c:scaling>
          <c:orientation val="minMax"/>
          <c:max val="1"/>
        </c:scaling>
        <c:delete val="0"/>
        <c:axPos val="r"/>
        <c:numFmt formatCode="0%" sourceLinked="1"/>
        <c:majorTickMark val="out"/>
        <c:minorTickMark val="none"/>
        <c:tickLblPos val="nextTo"/>
        <c:crossAx val="71125248"/>
        <c:crosses val="max"/>
        <c:crossBetween val="between"/>
        <c:minorUnit val="5.000000000000001E-2"/>
      </c:valAx>
      <c:catAx>
        <c:axId val="71125248"/>
        <c:scaling>
          <c:orientation val="minMax"/>
        </c:scaling>
        <c:delete val="1"/>
        <c:axPos val="b"/>
        <c:majorTickMark val="out"/>
        <c:minorTickMark val="none"/>
        <c:tickLblPos val="nextTo"/>
        <c:crossAx val="71123712"/>
        <c:crosses val="autoZero"/>
        <c:auto val="1"/>
        <c:lblAlgn val="ctr"/>
        <c:lblOffset val="100"/>
        <c:noMultiLvlLbl val="0"/>
      </c:catAx>
    </c:plotArea>
    <c:legend>
      <c:legendPos val="r"/>
      <c:layout>
        <c:manualLayout>
          <c:xMode val="edge"/>
          <c:yMode val="edge"/>
          <c:x val="0.74828764661678704"/>
          <c:y val="0.16718207147183525"/>
          <c:w val="0.21298482917851036"/>
          <c:h val="0.68614867756914999"/>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1350817</xdr:colOff>
      <xdr:row>0</xdr:row>
      <xdr:rowOff>77933</xdr:rowOff>
    </xdr:from>
    <xdr:to>
      <xdr:col>3</xdr:col>
      <xdr:colOff>787536</xdr:colOff>
      <xdr:row>0</xdr:row>
      <xdr:rowOff>638639</xdr:rowOff>
    </xdr:to>
    <xdr:pic>
      <xdr:nvPicPr>
        <xdr:cNvPr id="2" name="Afbeelding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72840" y="77933"/>
          <a:ext cx="1913219" cy="560706"/>
        </a:xfrm>
        <a:prstGeom prst="rect">
          <a:avLst/>
        </a:prstGeom>
      </xdr:spPr>
    </xdr:pic>
    <xdr:clientData/>
  </xdr:twoCellAnchor>
  <xdr:twoCellAnchor editAs="oneCell">
    <xdr:from>
      <xdr:col>0</xdr:col>
      <xdr:colOff>34636</xdr:colOff>
      <xdr:row>0</xdr:row>
      <xdr:rowOff>34637</xdr:rowOff>
    </xdr:from>
    <xdr:to>
      <xdr:col>1</xdr:col>
      <xdr:colOff>1082386</xdr:colOff>
      <xdr:row>0</xdr:row>
      <xdr:rowOff>629389</xdr:rowOff>
    </xdr:to>
    <xdr:pic>
      <xdr:nvPicPr>
        <xdr:cNvPr id="3" name="Afbeelding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636" y="34637"/>
          <a:ext cx="4069773" cy="5947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328605</xdr:colOff>
      <xdr:row>1</xdr:row>
      <xdr:rowOff>831</xdr:rowOff>
    </xdr:to>
    <xdr:pic>
      <xdr:nvPicPr>
        <xdr:cNvPr id="2" name="Afbeelding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546025" cy="724731"/>
        </a:xfrm>
        <a:prstGeom prst="rect">
          <a:avLst/>
        </a:prstGeom>
      </xdr:spPr>
    </xdr:pic>
    <xdr:clientData/>
  </xdr:twoCellAnchor>
  <xdr:twoCellAnchor>
    <xdr:from>
      <xdr:col>3</xdr:col>
      <xdr:colOff>180974</xdr:colOff>
      <xdr:row>71</xdr:row>
      <xdr:rowOff>142875</xdr:rowOff>
    </xdr:from>
    <xdr:to>
      <xdr:col>10</xdr:col>
      <xdr:colOff>200024</xdr:colOff>
      <xdr:row>92</xdr:row>
      <xdr:rowOff>38100</xdr:rowOff>
    </xdr:to>
    <xdr:graphicFrame macro="">
      <xdr:nvGraphicFramePr>
        <xdr:cNvPr id="3" name="Grafiek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showGridLines="0" tabSelected="1" view="pageBreakPreview" topLeftCell="A20" zoomScale="110" zoomScaleNormal="100" zoomScaleSheetLayoutView="110" workbookViewId="0">
      <selection activeCell="C42" sqref="C42"/>
    </sheetView>
  </sheetViews>
  <sheetFormatPr defaultColWidth="9.140625" defaultRowHeight="12" customHeight="1" x14ac:dyDescent="0.15"/>
  <cols>
    <col min="1" max="1" width="45.28515625" style="78" customWidth="1"/>
    <col min="2" max="2" width="21.28515625" style="78" customWidth="1"/>
    <col min="3" max="3" width="15.85546875" style="78" customWidth="1"/>
    <col min="4" max="4" width="12.5703125" style="78" customWidth="1"/>
    <col min="5" max="6" width="20.7109375" style="79" customWidth="1"/>
    <col min="7" max="7" width="15.7109375" style="79" bestFit="1" customWidth="1"/>
    <col min="8" max="16384" width="9.140625" style="79"/>
  </cols>
  <sheetData>
    <row r="1" spans="1:12" ht="57" customHeight="1" x14ac:dyDescent="0.2">
      <c r="A1" s="160"/>
      <c r="B1" s="161"/>
      <c r="C1" s="161"/>
      <c r="D1" s="162"/>
    </row>
    <row r="4" spans="1:12" ht="12" hidden="1" customHeight="1" x14ac:dyDescent="0.15"/>
    <row r="6" spans="1:12" ht="16.5" customHeight="1" x14ac:dyDescent="0.2">
      <c r="A6" s="80" t="s">
        <v>88</v>
      </c>
      <c r="B6" s="81"/>
    </row>
    <row r="7" spans="1:12" ht="16.5" customHeight="1" x14ac:dyDescent="0.3">
      <c r="A7" s="82" t="s">
        <v>68</v>
      </c>
      <c r="G7" s="83"/>
      <c r="H7" s="84"/>
      <c r="I7" s="84"/>
      <c r="J7" s="84"/>
      <c r="K7" s="84"/>
      <c r="L7" s="85"/>
    </row>
    <row r="8" spans="1:12" ht="12" customHeight="1" x14ac:dyDescent="0.2">
      <c r="G8" s="83"/>
      <c r="H8" s="83"/>
      <c r="I8" s="84"/>
      <c r="J8" s="84"/>
      <c r="K8" s="84"/>
      <c r="L8" s="85"/>
    </row>
    <row r="9" spans="1:12" ht="12" customHeight="1" x14ac:dyDescent="0.2">
      <c r="G9" s="84"/>
      <c r="H9" s="84"/>
      <c r="I9" s="83"/>
      <c r="J9" s="84"/>
      <c r="K9" s="84"/>
      <c r="L9" s="85"/>
    </row>
    <row r="10" spans="1:12" s="88" customFormat="1" ht="15" customHeight="1" x14ac:dyDescent="0.2">
      <c r="A10" s="153" t="s">
        <v>89</v>
      </c>
      <c r="B10" s="154"/>
      <c r="C10" s="154"/>
      <c r="D10" s="155"/>
      <c r="E10" s="86"/>
      <c r="F10" s="87"/>
      <c r="G10" s="84"/>
      <c r="H10" s="84"/>
      <c r="I10" s="83"/>
      <c r="J10" s="84"/>
      <c r="K10" s="84"/>
      <c r="L10" s="85"/>
    </row>
    <row r="11" spans="1:12" s="88" customFormat="1" ht="12" customHeight="1" x14ac:dyDescent="0.2">
      <c r="A11" s="149" t="s">
        <v>91</v>
      </c>
      <c r="B11" s="150"/>
      <c r="C11" s="150"/>
      <c r="D11" s="150"/>
      <c r="E11" s="89"/>
      <c r="F11" s="90"/>
      <c r="G11" s="84"/>
      <c r="H11" s="84"/>
      <c r="I11" s="83"/>
      <c r="J11" s="84"/>
      <c r="K11" s="84"/>
      <c r="L11" s="85"/>
    </row>
    <row r="12" spans="1:12" s="88" customFormat="1" ht="12" customHeight="1" x14ac:dyDescent="0.2">
      <c r="A12" s="151"/>
      <c r="B12" s="151"/>
      <c r="C12" s="151"/>
      <c r="D12" s="151"/>
      <c r="E12" s="89"/>
      <c r="F12" s="90"/>
      <c r="G12" s="84"/>
      <c r="H12" s="84"/>
      <c r="I12" s="84"/>
      <c r="J12" s="84"/>
      <c r="K12" s="84"/>
      <c r="L12" s="85"/>
    </row>
    <row r="13" spans="1:12" s="88" customFormat="1" ht="12" customHeight="1" x14ac:dyDescent="0.2">
      <c r="A13" s="151"/>
      <c r="B13" s="151"/>
      <c r="C13" s="151"/>
      <c r="D13" s="151"/>
      <c r="E13" s="89"/>
      <c r="F13" s="90"/>
      <c r="G13" s="84"/>
      <c r="H13" s="84"/>
      <c r="I13" s="84"/>
      <c r="J13" s="84"/>
      <c r="K13" s="84"/>
      <c r="L13" s="85"/>
    </row>
    <row r="14" spans="1:12" s="88" customFormat="1" ht="19.5" customHeight="1" x14ac:dyDescent="0.2">
      <c r="A14" s="151"/>
      <c r="B14" s="151"/>
      <c r="C14" s="151"/>
      <c r="D14" s="151"/>
      <c r="E14" s="89"/>
      <c r="F14" s="90"/>
      <c r="G14" s="84"/>
      <c r="H14" s="84"/>
      <c r="I14" s="84"/>
      <c r="J14" s="84"/>
      <c r="K14" s="84"/>
      <c r="L14" s="85"/>
    </row>
    <row r="15" spans="1:12" s="88" customFormat="1" ht="73.5" customHeight="1" x14ac:dyDescent="0.2">
      <c r="A15" s="152"/>
      <c r="B15" s="152"/>
      <c r="C15" s="152"/>
      <c r="D15" s="152"/>
      <c r="E15" s="89"/>
      <c r="F15" s="90"/>
      <c r="G15" s="84"/>
      <c r="H15" s="84"/>
      <c r="I15" s="84"/>
      <c r="J15" s="84"/>
      <c r="K15" s="84"/>
      <c r="L15" s="85"/>
    </row>
    <row r="16" spans="1:12" ht="12" customHeight="1" x14ac:dyDescent="0.2">
      <c r="G16" s="84"/>
      <c r="H16" s="84"/>
      <c r="I16" s="84"/>
      <c r="J16" s="84"/>
      <c r="K16" s="84"/>
      <c r="L16" s="85"/>
    </row>
    <row r="17" spans="1:12" ht="15" customHeight="1" x14ac:dyDescent="0.2">
      <c r="A17" s="156" t="s">
        <v>92</v>
      </c>
      <c r="B17" s="157"/>
      <c r="C17" s="158"/>
      <c r="D17" s="159"/>
      <c r="E17" s="91"/>
      <c r="F17" s="92"/>
      <c r="G17" s="84"/>
      <c r="H17" s="84"/>
      <c r="I17" s="84"/>
      <c r="J17" s="84"/>
      <c r="K17" s="84"/>
      <c r="L17" s="85"/>
    </row>
    <row r="18" spans="1:12" ht="12" customHeight="1" x14ac:dyDescent="0.2">
      <c r="A18" s="93" t="s">
        <v>11</v>
      </c>
      <c r="B18" s="94" t="s">
        <v>53</v>
      </c>
      <c r="C18" s="143"/>
      <c r="D18" s="78" t="s">
        <v>17</v>
      </c>
      <c r="G18" s="84"/>
      <c r="H18" s="84"/>
      <c r="I18" s="83"/>
      <c r="J18" s="84"/>
      <c r="K18" s="84"/>
      <c r="L18" s="85"/>
    </row>
    <row r="19" spans="1:12" ht="12" customHeight="1" x14ac:dyDescent="0.2">
      <c r="A19" s="95" t="s">
        <v>12</v>
      </c>
      <c r="B19" s="96" t="s">
        <v>54</v>
      </c>
      <c r="C19" s="144" t="s">
        <v>94</v>
      </c>
      <c r="D19" s="97" t="s">
        <v>17</v>
      </c>
      <c r="G19" s="84"/>
      <c r="H19" s="84"/>
      <c r="I19" s="84"/>
      <c r="J19" s="84"/>
      <c r="K19" s="84"/>
      <c r="L19" s="85"/>
    </row>
    <row r="20" spans="1:12" ht="12" customHeight="1" x14ac:dyDescent="0.2">
      <c r="A20" s="98"/>
      <c r="B20" s="98"/>
      <c r="C20" s="99"/>
      <c r="D20" s="79"/>
      <c r="G20" s="84"/>
      <c r="H20" s="84"/>
      <c r="I20" s="84"/>
      <c r="J20" s="84"/>
      <c r="K20" s="84"/>
      <c r="L20" s="85"/>
    </row>
    <row r="21" spans="1:12" ht="15" customHeight="1" x14ac:dyDescent="0.2">
      <c r="A21" s="156" t="s">
        <v>93</v>
      </c>
      <c r="B21" s="157"/>
      <c r="C21" s="158"/>
      <c r="D21" s="159"/>
      <c r="E21" s="91"/>
      <c r="F21" s="92"/>
      <c r="G21" s="84"/>
      <c r="H21" s="84"/>
      <c r="I21" s="84"/>
      <c r="J21" s="84"/>
      <c r="K21" s="84"/>
      <c r="L21" s="85"/>
    </row>
    <row r="22" spans="1:12" s="103" customFormat="1" ht="12" customHeight="1" x14ac:dyDescent="0.2">
      <c r="A22" s="100" t="s">
        <v>66</v>
      </c>
      <c r="B22" s="101"/>
      <c r="C22" s="102"/>
      <c r="E22" s="104"/>
      <c r="F22" s="104"/>
      <c r="G22" s="104"/>
      <c r="H22" s="104"/>
      <c r="I22" s="105"/>
    </row>
    <row r="23" spans="1:12" ht="12" customHeight="1" x14ac:dyDescent="0.2">
      <c r="A23" s="106" t="s">
        <v>32</v>
      </c>
      <c r="B23" s="107" t="s">
        <v>42</v>
      </c>
      <c r="C23" s="145" t="s">
        <v>94</v>
      </c>
      <c r="D23" s="79" t="s">
        <v>10</v>
      </c>
    </row>
    <row r="24" spans="1:12" ht="12" customHeight="1" x14ac:dyDescent="0.2">
      <c r="A24" s="108" t="s">
        <v>39</v>
      </c>
      <c r="B24" s="94" t="s">
        <v>52</v>
      </c>
      <c r="C24" s="145" t="s">
        <v>94</v>
      </c>
      <c r="D24" s="79" t="s">
        <v>10</v>
      </c>
    </row>
    <row r="25" spans="1:12" ht="12" customHeight="1" x14ac:dyDescent="0.2">
      <c r="A25" s="109" t="s">
        <v>80</v>
      </c>
      <c r="B25" s="107" t="s">
        <v>43</v>
      </c>
      <c r="C25" s="145" t="s">
        <v>94</v>
      </c>
      <c r="D25" s="79" t="s">
        <v>10</v>
      </c>
    </row>
    <row r="26" spans="1:12" ht="12" customHeight="1" x14ac:dyDescent="0.2">
      <c r="A26" s="108" t="s">
        <v>40</v>
      </c>
      <c r="B26" s="94" t="s">
        <v>50</v>
      </c>
      <c r="C26" s="145" t="s">
        <v>94</v>
      </c>
      <c r="D26" s="79" t="s">
        <v>10</v>
      </c>
    </row>
    <row r="27" spans="1:12" ht="12" customHeight="1" x14ac:dyDescent="0.2">
      <c r="A27" s="108" t="s">
        <v>33</v>
      </c>
      <c r="B27" s="94" t="s">
        <v>44</v>
      </c>
      <c r="C27" s="145" t="s">
        <v>94</v>
      </c>
      <c r="D27" s="79" t="s">
        <v>10</v>
      </c>
    </row>
    <row r="28" spans="1:12" ht="12" customHeight="1" x14ac:dyDescent="0.2">
      <c r="A28" s="108" t="s">
        <v>41</v>
      </c>
      <c r="B28" s="94" t="s">
        <v>51</v>
      </c>
      <c r="C28" s="145" t="s">
        <v>94</v>
      </c>
      <c r="D28" s="79" t="s">
        <v>10</v>
      </c>
    </row>
    <row r="29" spans="1:12" ht="12" customHeight="1" x14ac:dyDescent="0.2">
      <c r="A29" s="110" t="s">
        <v>5</v>
      </c>
      <c r="B29" s="94" t="s">
        <v>45</v>
      </c>
      <c r="C29" s="145" t="s">
        <v>94</v>
      </c>
      <c r="D29" s="79" t="s">
        <v>10</v>
      </c>
    </row>
    <row r="30" spans="1:12" ht="12" customHeight="1" x14ac:dyDescent="0.2">
      <c r="A30" s="110" t="s">
        <v>6</v>
      </c>
      <c r="B30" s="94" t="s">
        <v>46</v>
      </c>
      <c r="C30" s="145" t="s">
        <v>94</v>
      </c>
      <c r="D30" s="79" t="s">
        <v>10</v>
      </c>
    </row>
    <row r="31" spans="1:12" ht="12" customHeight="1" x14ac:dyDescent="0.2">
      <c r="A31" s="110" t="s">
        <v>7</v>
      </c>
      <c r="B31" s="94" t="s">
        <v>47</v>
      </c>
      <c r="C31" s="145" t="s">
        <v>94</v>
      </c>
      <c r="D31" s="79" t="s">
        <v>10</v>
      </c>
    </row>
    <row r="32" spans="1:12" ht="12" customHeight="1" x14ac:dyDescent="0.2">
      <c r="A32" s="110" t="s">
        <v>8</v>
      </c>
      <c r="B32" s="94" t="s">
        <v>48</v>
      </c>
      <c r="C32" s="145" t="s">
        <v>94</v>
      </c>
      <c r="D32" s="79" t="s">
        <v>10</v>
      </c>
    </row>
    <row r="33" spans="1:7" ht="12" customHeight="1" x14ac:dyDescent="0.2">
      <c r="A33" s="110" t="s">
        <v>9</v>
      </c>
      <c r="B33" s="94" t="s">
        <v>49</v>
      </c>
      <c r="C33" s="145" t="s">
        <v>94</v>
      </c>
      <c r="D33" s="79" t="s">
        <v>10</v>
      </c>
    </row>
    <row r="34" spans="1:7" ht="12" customHeight="1" x14ac:dyDescent="0.15">
      <c r="A34" s="100" t="s">
        <v>34</v>
      </c>
      <c r="B34" s="100"/>
      <c r="C34" s="111" t="str">
        <f>IFERROR(SUM(C23:C31)-C32-C33,"")</f>
        <v/>
      </c>
      <c r="D34" s="79" t="s">
        <v>10</v>
      </c>
    </row>
    <row r="35" spans="1:7" ht="12" customHeight="1" x14ac:dyDescent="0.15">
      <c r="A35" s="100"/>
      <c r="B35" s="100"/>
      <c r="C35" s="112"/>
      <c r="D35" s="112"/>
    </row>
    <row r="36" spans="1:7" ht="12" customHeight="1" x14ac:dyDescent="0.15">
      <c r="A36" s="100" t="s">
        <v>14</v>
      </c>
      <c r="B36" s="100"/>
      <c r="C36" s="79"/>
      <c r="D36" s="79"/>
    </row>
    <row r="37" spans="1:7" ht="12" customHeight="1" x14ac:dyDescent="0.2">
      <c r="A37" s="113" t="s">
        <v>13</v>
      </c>
      <c r="B37" s="100"/>
      <c r="C37" s="146" t="s">
        <v>94</v>
      </c>
      <c r="D37" s="114" t="s">
        <v>18</v>
      </c>
      <c r="E37" s="115"/>
      <c r="F37" s="116"/>
      <c r="G37" s="117"/>
    </row>
    <row r="38" spans="1:7" ht="12" customHeight="1" x14ac:dyDescent="0.2">
      <c r="A38" s="113" t="s">
        <v>73</v>
      </c>
      <c r="B38" s="100"/>
      <c r="C38" s="118">
        <v>35.17</v>
      </c>
      <c r="D38" s="114" t="s">
        <v>74</v>
      </c>
      <c r="E38" s="115"/>
      <c r="F38" s="116"/>
      <c r="G38" s="117"/>
    </row>
    <row r="39" spans="1:7" ht="12" customHeight="1" x14ac:dyDescent="0.2">
      <c r="A39" s="113" t="s">
        <v>70</v>
      </c>
      <c r="B39" s="100"/>
      <c r="C39" s="119" t="str">
        <f>IFERROR(C38*C37,"")</f>
        <v/>
      </c>
      <c r="D39" s="114" t="s">
        <v>10</v>
      </c>
      <c r="E39" s="115"/>
      <c r="F39" s="116"/>
      <c r="G39" s="117"/>
    </row>
    <row r="40" spans="1:7" ht="12" customHeight="1" x14ac:dyDescent="0.2">
      <c r="A40" s="113"/>
      <c r="B40" s="100"/>
      <c r="C40" s="119"/>
      <c r="D40" s="114"/>
      <c r="E40" s="115"/>
      <c r="F40" s="116"/>
      <c r="G40" s="117"/>
    </row>
    <row r="41" spans="1:7" ht="12" customHeight="1" x14ac:dyDescent="0.2">
      <c r="A41" s="100" t="s">
        <v>15</v>
      </c>
      <c r="B41" s="100"/>
      <c r="C41" s="79"/>
      <c r="D41" s="79"/>
      <c r="E41" s="115"/>
      <c r="F41" s="116"/>
      <c r="G41" s="117"/>
    </row>
    <row r="42" spans="1:7" ht="12" customHeight="1" x14ac:dyDescent="0.2">
      <c r="A42" s="113" t="s">
        <v>13</v>
      </c>
      <c r="B42" s="100"/>
      <c r="C42" s="146" t="s">
        <v>94</v>
      </c>
      <c r="D42" s="114" t="s">
        <v>19</v>
      </c>
      <c r="E42" s="115"/>
      <c r="F42" s="116"/>
      <c r="G42" s="117"/>
    </row>
    <row r="43" spans="1:7" ht="12" customHeight="1" x14ac:dyDescent="0.2">
      <c r="A43" s="113" t="s">
        <v>81</v>
      </c>
      <c r="B43" s="100"/>
      <c r="C43" s="146" t="s">
        <v>94</v>
      </c>
      <c r="D43" s="114" t="s">
        <v>19</v>
      </c>
      <c r="E43" s="115"/>
      <c r="F43" s="116"/>
      <c r="G43" s="117"/>
    </row>
    <row r="44" spans="1:7" ht="12" customHeight="1" x14ac:dyDescent="0.2">
      <c r="A44" s="113" t="s">
        <v>9</v>
      </c>
      <c r="B44" s="100"/>
      <c r="C44" s="147" t="s">
        <v>94</v>
      </c>
      <c r="D44" s="114" t="s">
        <v>19</v>
      </c>
      <c r="E44" s="120"/>
      <c r="F44" s="116"/>
      <c r="G44" s="117"/>
    </row>
    <row r="45" spans="1:7" ht="12" customHeight="1" x14ac:dyDescent="0.2">
      <c r="A45" s="113" t="s">
        <v>71</v>
      </c>
      <c r="B45" s="100"/>
      <c r="C45" s="121" t="str">
        <f>IFERROR((C42+C43-C44)*3.6,"")</f>
        <v/>
      </c>
      <c r="D45" s="114" t="s">
        <v>10</v>
      </c>
      <c r="E45" s="115"/>
      <c r="F45" s="116"/>
      <c r="G45" s="117"/>
    </row>
    <row r="46" spans="1:7" ht="12" customHeight="1" x14ac:dyDescent="0.15">
      <c r="A46" s="113"/>
      <c r="B46" s="94"/>
      <c r="C46" s="119"/>
      <c r="D46" s="114"/>
    </row>
    <row r="47" spans="1:7" ht="12" customHeight="1" x14ac:dyDescent="0.15">
      <c r="A47" s="100" t="s">
        <v>69</v>
      </c>
      <c r="B47" s="94"/>
      <c r="C47" s="119"/>
      <c r="D47" s="114"/>
    </row>
    <row r="48" spans="1:7" ht="12" customHeight="1" x14ac:dyDescent="0.15">
      <c r="A48" s="78" t="s">
        <v>20</v>
      </c>
      <c r="B48" s="94" t="s">
        <v>24</v>
      </c>
      <c r="C48" s="119">
        <f>IFERROR(IF(C18="",0,C49/C18),"")</f>
        <v>0</v>
      </c>
      <c r="D48" s="114" t="s">
        <v>0</v>
      </c>
    </row>
    <row r="49" spans="1:11" ht="12" customHeight="1" x14ac:dyDescent="0.2">
      <c r="A49" s="78" t="s">
        <v>21</v>
      </c>
      <c r="B49" s="94" t="s">
        <v>55</v>
      </c>
      <c r="C49" s="119" t="str">
        <f>C34</f>
        <v/>
      </c>
      <c r="D49" s="94" t="s">
        <v>10</v>
      </c>
    </row>
    <row r="50" spans="1:11" ht="12" customHeight="1" x14ac:dyDescent="0.2">
      <c r="A50" s="78" t="s">
        <v>22</v>
      </c>
      <c r="B50" s="94" t="s">
        <v>56</v>
      </c>
      <c r="C50" s="119">
        <f>IFERROR(IF(C18="",0,(C51*C18+C52*C19+C53*C55)*C54*C56),"")</f>
        <v>0</v>
      </c>
      <c r="D50" s="94" t="s">
        <v>10</v>
      </c>
    </row>
    <row r="51" spans="1:11" ht="12" customHeight="1" x14ac:dyDescent="0.2">
      <c r="A51" s="78" t="s">
        <v>27</v>
      </c>
      <c r="B51" s="94" t="s">
        <v>57</v>
      </c>
      <c r="C51" s="122">
        <v>310</v>
      </c>
      <c r="D51" s="114" t="s">
        <v>0</v>
      </c>
      <c r="E51" s="94"/>
    </row>
    <row r="52" spans="1:11" ht="12" customHeight="1" x14ac:dyDescent="0.2">
      <c r="A52" s="78" t="s">
        <v>28</v>
      </c>
      <c r="B52" s="94" t="s">
        <v>58</v>
      </c>
      <c r="C52" s="122">
        <v>85</v>
      </c>
      <c r="D52" s="114" t="s">
        <v>0</v>
      </c>
      <c r="E52" s="94"/>
    </row>
    <row r="53" spans="1:11" ht="12" customHeight="1" x14ac:dyDescent="0.2">
      <c r="A53" s="78" t="s">
        <v>29</v>
      </c>
      <c r="B53" s="94" t="s">
        <v>59</v>
      </c>
      <c r="C53" s="122">
        <f>IFERROR(IF(C18/C55&gt;=70,9000,19500),"")</f>
        <v>19500</v>
      </c>
      <c r="D53" s="114" t="s">
        <v>10</v>
      </c>
      <c r="E53" s="94"/>
    </row>
    <row r="54" spans="1:11" ht="12" customHeight="1" x14ac:dyDescent="0.2">
      <c r="A54" s="78" t="s">
        <v>67</v>
      </c>
      <c r="B54" s="94" t="s">
        <v>60</v>
      </c>
      <c r="C54" s="123">
        <v>1</v>
      </c>
      <c r="D54" s="124" t="s">
        <v>25</v>
      </c>
      <c r="E54" s="94"/>
    </row>
    <row r="55" spans="1:11" ht="12" customHeight="1" x14ac:dyDescent="0.2">
      <c r="A55" s="78" t="s">
        <v>30</v>
      </c>
      <c r="B55" s="94" t="s">
        <v>61</v>
      </c>
      <c r="C55" s="123">
        <v>1</v>
      </c>
      <c r="D55" s="124" t="s">
        <v>25</v>
      </c>
      <c r="E55" s="94"/>
    </row>
    <row r="56" spans="1:11" ht="12" customHeight="1" x14ac:dyDescent="0.2">
      <c r="A56" s="78" t="s">
        <v>26</v>
      </c>
      <c r="B56" s="94" t="s">
        <v>62</v>
      </c>
      <c r="C56" s="148">
        <v>0.4</v>
      </c>
      <c r="D56" s="124" t="s">
        <v>25</v>
      </c>
    </row>
    <row r="57" spans="1:11" ht="12" customHeight="1" x14ac:dyDescent="0.15">
      <c r="A57" s="78" t="s">
        <v>23</v>
      </c>
      <c r="B57" s="94" t="s">
        <v>4</v>
      </c>
      <c r="C57" s="125" t="str">
        <f>IFERROR(CEILING(C49/((C51*C18+C52*C19+C53*C55)*C54),0.001),"")</f>
        <v/>
      </c>
      <c r="D57" s="124" t="s">
        <v>25</v>
      </c>
      <c r="E57" s="125"/>
    </row>
    <row r="58" spans="1:11" ht="12" customHeight="1" x14ac:dyDescent="0.15">
      <c r="A58" s="97"/>
      <c r="B58" s="97"/>
      <c r="C58" s="126">
        <f>IFERROR(IF(C18="",0,CEILING(C49/C50*C56,0.01)),"")</f>
        <v>0</v>
      </c>
      <c r="D58" s="127" t="s">
        <v>25</v>
      </c>
      <c r="E58" s="128"/>
    </row>
    <row r="59" spans="1:11" ht="12" customHeight="1" x14ac:dyDescent="0.15">
      <c r="C59" s="129"/>
      <c r="D59" s="124"/>
    </row>
    <row r="60" spans="1:11" ht="15" customHeight="1" x14ac:dyDescent="0.2">
      <c r="A60" s="156" t="s">
        <v>90</v>
      </c>
      <c r="B60" s="157"/>
      <c r="C60" s="157"/>
      <c r="D60" s="157"/>
      <c r="E60" s="130"/>
      <c r="G60" s="84"/>
      <c r="H60" s="84"/>
      <c r="I60" s="84"/>
      <c r="J60" s="84"/>
      <c r="K60" s="85"/>
    </row>
    <row r="61" spans="1:11" ht="12" customHeight="1" x14ac:dyDescent="0.2">
      <c r="A61" s="131" t="s">
        <v>75</v>
      </c>
      <c r="B61" s="94" t="s">
        <v>82</v>
      </c>
      <c r="C61" s="119" t="str">
        <f>IFERROR(C39+C42*3.6,"")</f>
        <v/>
      </c>
      <c r="D61" s="94" t="s">
        <v>10</v>
      </c>
      <c r="E61" s="132"/>
      <c r="G61" s="84"/>
      <c r="H61" s="84"/>
      <c r="I61" s="84"/>
      <c r="J61" s="84"/>
      <c r="K61" s="85"/>
    </row>
    <row r="62" spans="1:11" ht="12" customHeight="1" x14ac:dyDescent="0.2">
      <c r="A62" s="133"/>
      <c r="B62" s="94" t="s">
        <v>63</v>
      </c>
      <c r="C62" s="119" t="str">
        <f>IFERROR(IF(C18="","",C61/C18),"")</f>
        <v/>
      </c>
      <c r="D62" s="114" t="s">
        <v>0</v>
      </c>
    </row>
    <row r="63" spans="1:11" ht="12" customHeight="1" x14ac:dyDescent="0.2">
      <c r="A63" s="133"/>
      <c r="B63" s="131" t="s">
        <v>87</v>
      </c>
      <c r="C63" s="134" t="str">
        <f>IF(C62&lt;=150,"1.",IF(C62&lt;=225,"2.",IF(C62&lt;=300,"3.",IF(C62&lt;=450,"4.","voldoet niet"))))</f>
        <v>voldoet niet</v>
      </c>
      <c r="D63" s="94"/>
    </row>
    <row r="64" spans="1:11" ht="12" customHeight="1" x14ac:dyDescent="0.2">
      <c r="A64" s="133"/>
      <c r="B64" s="131"/>
      <c r="C64" s="135"/>
      <c r="D64" s="94"/>
    </row>
    <row r="65" spans="1:6" ht="12" hidden="1" customHeight="1" x14ac:dyDescent="0.15">
      <c r="A65" s="131" t="s">
        <v>76</v>
      </c>
      <c r="B65" s="94"/>
      <c r="C65" s="136">
        <f>IF(C18="",0,C44/(C42+C43))</f>
        <v>0</v>
      </c>
      <c r="D65" s="114"/>
      <c r="E65" s="94"/>
    </row>
    <row r="66" spans="1:6" ht="12" hidden="1" customHeight="1" x14ac:dyDescent="0.2">
      <c r="A66" s="133"/>
      <c r="B66" s="131" t="s">
        <v>31</v>
      </c>
      <c r="C66" s="134" t="str">
        <f>IF(C65&gt;=100%,"1.",IF(C65&gt;=75%,"2.",IF(C65&gt;=50%,"3.",IF(C65&gt;=25%,"4.","voldoet niet"))))</f>
        <v>voldoet niet</v>
      </c>
      <c r="D66" s="124"/>
    </row>
    <row r="67" spans="1:6" ht="12" hidden="1" customHeight="1" x14ac:dyDescent="0.2">
      <c r="A67" s="133"/>
      <c r="B67" s="94"/>
      <c r="C67" s="137"/>
      <c r="D67" s="124"/>
    </row>
    <row r="68" spans="1:6" ht="12" customHeight="1" x14ac:dyDescent="0.2">
      <c r="A68" s="131" t="s">
        <v>77</v>
      </c>
      <c r="B68" s="107" t="s">
        <v>85</v>
      </c>
      <c r="C68" s="119" t="str">
        <f>IFERROR((C51*C18+C52*C19+C53*C55)*C54,"")</f>
        <v/>
      </c>
      <c r="D68" s="94" t="s">
        <v>10</v>
      </c>
      <c r="E68" s="130"/>
      <c r="F68" s="113"/>
    </row>
    <row r="69" spans="1:6" ht="12" customHeight="1" x14ac:dyDescent="0.2">
      <c r="A69" s="131"/>
      <c r="B69" s="94" t="s">
        <v>84</v>
      </c>
      <c r="C69" s="119" t="str">
        <f>IFERROR(C68*C57,"")</f>
        <v/>
      </c>
      <c r="D69" s="94" t="s">
        <v>10</v>
      </c>
      <c r="E69" s="130"/>
      <c r="F69" s="113"/>
    </row>
    <row r="70" spans="1:6" ht="12" customHeight="1" x14ac:dyDescent="0.15">
      <c r="A70" s="79"/>
      <c r="B70" s="94" t="s">
        <v>83</v>
      </c>
      <c r="C70" s="138">
        <v>1</v>
      </c>
      <c r="D70" s="124"/>
      <c r="E70" s="94"/>
    </row>
    <row r="71" spans="1:6" ht="12" customHeight="1" x14ac:dyDescent="0.2">
      <c r="B71" s="94" t="s">
        <v>86</v>
      </c>
      <c r="C71" s="119" t="str">
        <f>IFERROR(IF(C18="","",C70*C69/C18),"")</f>
        <v/>
      </c>
      <c r="D71" s="114" t="s">
        <v>0</v>
      </c>
    </row>
    <row r="72" spans="1:6" ht="12" customHeight="1" x14ac:dyDescent="0.15">
      <c r="B72" s="131" t="s">
        <v>87</v>
      </c>
      <c r="C72" s="134" t="str">
        <f>IF(C71&lt;=0,"1.",IF(C71&lt;=55,"2.",IF(C71&lt;=110,"3.","4.")))</f>
        <v>4.</v>
      </c>
      <c r="D72" s="94"/>
      <c r="E72" s="139"/>
      <c r="F72" s="140"/>
    </row>
    <row r="73" spans="1:6" ht="12" customHeight="1" x14ac:dyDescent="0.15">
      <c r="D73" s="124"/>
      <c r="F73" s="130"/>
    </row>
    <row r="74" spans="1:6" ht="12" customHeight="1" x14ac:dyDescent="0.15">
      <c r="B74" s="94"/>
      <c r="C74" s="119"/>
      <c r="D74" s="114"/>
    </row>
    <row r="75" spans="1:6" ht="12" customHeight="1" x14ac:dyDescent="0.2">
      <c r="B75" s="131"/>
      <c r="C75" s="141"/>
      <c r="D75" s="124"/>
      <c r="E75" s="142"/>
    </row>
  </sheetData>
  <sheetProtection password="98F8" sheet="1" objects="1" scenarios="1" selectLockedCells="1"/>
  <mergeCells count="1">
    <mergeCell ref="A11:D15"/>
  </mergeCells>
  <conditionalFormatting sqref="E15">
    <cfRule type="cellIs" dxfId="2" priority="25" stopIfTrue="1" operator="equal">
      <formula>"&lt;DATUM&gt;"</formula>
    </cfRule>
  </conditionalFormatting>
  <conditionalFormatting sqref="E11:E12">
    <cfRule type="cellIs" dxfId="1" priority="26" stopIfTrue="1" operator="equal">
      <formula>"&lt;PROJECT&gt;"</formula>
    </cfRule>
  </conditionalFormatting>
  <conditionalFormatting sqref="E13:E14">
    <cfRule type="cellIs" dxfId="0" priority="27" stopIfTrue="1" operator="equal">
      <formula>"&lt;OPDRACHTGEVER&gt;"</formula>
    </cfRule>
  </conditionalFormatting>
  <pageMargins left="0.74803149606299213" right="0.74803149606299213" top="0.98425196850393704" bottom="0.98425196850393704" header="0.51181102362204722" footer="0.51181102362204722"/>
  <pageSetup paperSize="9" scale="74" orientation="portrait" r:id="rId1"/>
  <headerFooter alignWithMargins="0">
    <oddFooter>&amp;L&amp;"Verdana,Standaard"&amp;9&amp;F&amp;R&amp;"Verdana,Standaard"&amp;9&amp;D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showGridLines="0" view="pageBreakPreview" topLeftCell="A70" zoomScaleNormal="100" zoomScaleSheetLayoutView="100" workbookViewId="0">
      <selection activeCell="K84" sqref="K84"/>
    </sheetView>
  </sheetViews>
  <sheetFormatPr defaultColWidth="9.140625" defaultRowHeight="12" customHeight="1" x14ac:dyDescent="0.15"/>
  <cols>
    <col min="1" max="1" width="32.28515625" style="4" customWidth="1"/>
    <col min="2" max="2" width="20.28515625" style="4" bestFit="1" customWidth="1"/>
    <col min="3" max="13" width="14.7109375" style="4" customWidth="1"/>
    <col min="14" max="14" width="5.42578125" style="4" bestFit="1" customWidth="1"/>
    <col min="15" max="16384" width="9.140625" style="8"/>
  </cols>
  <sheetData>
    <row r="1" spans="1:14" ht="57" customHeight="1" x14ac:dyDescent="0.2"/>
    <row r="6" spans="1:14" ht="16.5" customHeight="1" x14ac:dyDescent="0.2">
      <c r="A6" s="9" t="s">
        <v>38</v>
      </c>
      <c r="B6" s="21"/>
    </row>
    <row r="7" spans="1:14" ht="16.5" customHeight="1" x14ac:dyDescent="0.3">
      <c r="A7" s="10" t="s">
        <v>68</v>
      </c>
    </row>
    <row r="10" spans="1:14" s="42" customFormat="1" ht="15" customHeight="1" x14ac:dyDescent="0.3">
      <c r="A10" s="11" t="s">
        <v>35</v>
      </c>
      <c r="B10" s="22"/>
      <c r="C10" s="22"/>
      <c r="D10" s="22"/>
      <c r="E10" s="22"/>
      <c r="F10" s="22"/>
      <c r="G10" s="22"/>
      <c r="H10" s="22"/>
      <c r="I10" s="22"/>
      <c r="J10" s="22"/>
      <c r="K10" s="22"/>
      <c r="L10" s="22"/>
      <c r="M10" s="22"/>
      <c r="N10" s="18"/>
    </row>
    <row r="11" spans="1:14" s="43" customFormat="1" ht="12" customHeight="1" x14ac:dyDescent="0.2">
      <c r="A11" s="5" t="s">
        <v>36</v>
      </c>
      <c r="B11" s="5"/>
      <c r="C11" s="55" t="s">
        <v>79</v>
      </c>
      <c r="D11" s="55" t="s">
        <v>79</v>
      </c>
      <c r="E11" s="55" t="s">
        <v>79</v>
      </c>
      <c r="F11" s="55" t="s">
        <v>79</v>
      </c>
      <c r="G11" s="55" t="s">
        <v>79</v>
      </c>
      <c r="H11" s="55" t="s">
        <v>79</v>
      </c>
      <c r="I11" s="55" t="s">
        <v>79</v>
      </c>
      <c r="J11" s="55" t="s">
        <v>79</v>
      </c>
      <c r="K11" s="55" t="s">
        <v>79</v>
      </c>
      <c r="L11" s="55" t="s">
        <v>79</v>
      </c>
      <c r="M11" s="55"/>
      <c r="N11" s="19"/>
    </row>
    <row r="12" spans="1:14" s="43" customFormat="1" ht="12" customHeight="1" x14ac:dyDescent="0.2">
      <c r="A12" s="5" t="s">
        <v>37</v>
      </c>
      <c r="B12" s="5"/>
      <c r="C12" s="55" t="s">
        <v>78</v>
      </c>
      <c r="D12" s="55" t="s">
        <v>78</v>
      </c>
      <c r="E12" s="55" t="s">
        <v>78</v>
      </c>
      <c r="F12" s="55" t="s">
        <v>78</v>
      </c>
      <c r="G12" s="55" t="s">
        <v>78</v>
      </c>
      <c r="H12" s="55" t="s">
        <v>78</v>
      </c>
      <c r="I12" s="55" t="s">
        <v>78</v>
      </c>
      <c r="J12" s="55" t="s">
        <v>78</v>
      </c>
      <c r="K12" s="55" t="s">
        <v>78</v>
      </c>
      <c r="L12" s="55" t="s">
        <v>78</v>
      </c>
      <c r="M12" s="55"/>
      <c r="N12" s="19"/>
    </row>
    <row r="13" spans="1:14" s="43" customFormat="1" ht="12" customHeight="1" x14ac:dyDescent="0.2">
      <c r="A13" s="5" t="s">
        <v>72</v>
      </c>
      <c r="B13" s="5"/>
      <c r="C13" s="61" t="s">
        <v>1</v>
      </c>
      <c r="D13" s="61" t="s">
        <v>1</v>
      </c>
      <c r="E13" s="61" t="s">
        <v>1</v>
      </c>
      <c r="F13" s="61" t="s">
        <v>1</v>
      </c>
      <c r="G13" s="61" t="s">
        <v>1</v>
      </c>
      <c r="H13" s="61" t="s">
        <v>1</v>
      </c>
      <c r="I13" s="61" t="s">
        <v>1</v>
      </c>
      <c r="J13" s="61" t="s">
        <v>1</v>
      </c>
      <c r="K13" s="61" t="s">
        <v>2</v>
      </c>
      <c r="L13" s="61" t="s">
        <v>3</v>
      </c>
      <c r="M13" s="55"/>
      <c r="N13" s="19"/>
    </row>
    <row r="14" spans="1:14" s="43" customFormat="1" ht="12" customHeight="1" x14ac:dyDescent="0.2">
      <c r="A14" s="5"/>
      <c r="B14" s="5"/>
      <c r="C14" s="55"/>
      <c r="D14" s="55"/>
      <c r="E14" s="55"/>
      <c r="F14" s="55"/>
      <c r="G14" s="55"/>
      <c r="H14" s="55"/>
      <c r="I14" s="55"/>
      <c r="J14" s="55"/>
      <c r="K14" s="55"/>
      <c r="L14" s="55"/>
      <c r="M14" s="55"/>
      <c r="N14" s="19"/>
    </row>
    <row r="15" spans="1:14" s="43" customFormat="1" ht="12" customHeight="1" x14ac:dyDescent="0.2">
      <c r="A15" s="6"/>
      <c r="B15" s="6"/>
      <c r="C15" s="54"/>
      <c r="D15" s="54"/>
      <c r="E15" s="54"/>
      <c r="F15" s="54"/>
      <c r="G15" s="54"/>
      <c r="H15" s="54"/>
      <c r="I15" s="54"/>
      <c r="J15" s="54"/>
      <c r="K15" s="54"/>
      <c r="L15" s="54"/>
      <c r="M15" s="54"/>
      <c r="N15" s="20"/>
    </row>
    <row r="17" spans="1:14" ht="15" customHeight="1" x14ac:dyDescent="0.2">
      <c r="A17" s="12" t="s">
        <v>16</v>
      </c>
      <c r="B17" s="23"/>
      <c r="C17" s="30"/>
      <c r="D17" s="30"/>
      <c r="E17" s="30"/>
      <c r="F17" s="30"/>
      <c r="G17" s="30"/>
      <c r="H17" s="30"/>
      <c r="I17" s="30"/>
      <c r="J17" s="30"/>
      <c r="K17" s="30"/>
      <c r="L17" s="30"/>
      <c r="M17" s="30"/>
      <c r="N17" s="13"/>
    </row>
    <row r="18" spans="1:14" ht="12" customHeight="1" x14ac:dyDescent="0.2">
      <c r="A18" s="5" t="s">
        <v>11</v>
      </c>
      <c r="B18" s="24" t="s">
        <v>53</v>
      </c>
      <c r="C18" s="48">
        <v>169.89</v>
      </c>
      <c r="D18" s="48">
        <v>169.89</v>
      </c>
      <c r="E18" s="48">
        <v>169.89</v>
      </c>
      <c r="F18" s="48">
        <v>169.89</v>
      </c>
      <c r="G18" s="48">
        <v>169.89</v>
      </c>
      <c r="H18" s="48">
        <v>169.89</v>
      </c>
      <c r="I18" s="48">
        <v>169.89</v>
      </c>
      <c r="J18" s="48">
        <v>175.5</v>
      </c>
      <c r="K18" s="48">
        <v>163.6</v>
      </c>
      <c r="L18" s="48">
        <v>143</v>
      </c>
      <c r="M18" s="48"/>
      <c r="N18" s="4" t="s">
        <v>17</v>
      </c>
    </row>
    <row r="19" spans="1:14" ht="12" customHeight="1" x14ac:dyDescent="0.2">
      <c r="A19" s="6" t="s">
        <v>12</v>
      </c>
      <c r="B19" s="56" t="s">
        <v>54</v>
      </c>
      <c r="C19" s="57">
        <v>392.85</v>
      </c>
      <c r="D19" s="57">
        <v>392.85</v>
      </c>
      <c r="E19" s="57">
        <v>392.85</v>
      </c>
      <c r="F19" s="57">
        <v>392.85</v>
      </c>
      <c r="G19" s="57">
        <v>392.85</v>
      </c>
      <c r="H19" s="57">
        <v>392.85</v>
      </c>
      <c r="I19" s="57">
        <v>392.85</v>
      </c>
      <c r="J19" s="57">
        <v>384.82</v>
      </c>
      <c r="K19" s="57">
        <v>283.82</v>
      </c>
      <c r="L19" s="57">
        <v>209.14</v>
      </c>
      <c r="M19" s="57"/>
      <c r="N19" s="58" t="s">
        <v>17</v>
      </c>
    </row>
    <row r="20" spans="1:14" ht="12" customHeight="1" x14ac:dyDescent="0.2">
      <c r="A20" s="25"/>
      <c r="B20" s="25"/>
      <c r="C20" s="26"/>
      <c r="D20" s="26"/>
      <c r="E20" s="26"/>
      <c r="F20" s="26"/>
      <c r="G20" s="26"/>
      <c r="H20" s="26"/>
      <c r="I20" s="26"/>
      <c r="J20" s="26"/>
      <c r="K20" s="26"/>
      <c r="L20" s="26"/>
      <c r="M20" s="26"/>
      <c r="N20" s="8"/>
    </row>
    <row r="21" spans="1:14" ht="15" customHeight="1" x14ac:dyDescent="0.2">
      <c r="A21" s="12" t="s">
        <v>64</v>
      </c>
      <c r="B21" s="23"/>
      <c r="C21" s="30"/>
      <c r="D21" s="30"/>
      <c r="E21" s="30"/>
      <c r="F21" s="30"/>
      <c r="G21" s="30"/>
      <c r="H21" s="30"/>
      <c r="I21" s="30"/>
      <c r="J21" s="30"/>
      <c r="K21" s="30"/>
      <c r="L21" s="30"/>
      <c r="M21" s="30"/>
      <c r="N21" s="13"/>
    </row>
    <row r="22" spans="1:14" s="44" customFormat="1" ht="12" customHeight="1" x14ac:dyDescent="0.2">
      <c r="A22" s="16" t="s">
        <v>66</v>
      </c>
      <c r="B22" s="7"/>
      <c r="C22" s="14"/>
      <c r="D22" s="14"/>
      <c r="E22" s="14"/>
      <c r="F22" s="14"/>
      <c r="G22" s="14"/>
      <c r="H22" s="14"/>
      <c r="I22" s="14"/>
      <c r="J22" s="14"/>
      <c r="K22" s="14"/>
      <c r="L22" s="14"/>
      <c r="M22" s="14"/>
    </row>
    <row r="23" spans="1:14" ht="12" customHeight="1" x14ac:dyDescent="0.2">
      <c r="A23" s="17" t="s">
        <v>32</v>
      </c>
      <c r="B23" s="45" t="s">
        <v>42</v>
      </c>
      <c r="C23" s="51">
        <v>30609</v>
      </c>
      <c r="D23" s="51">
        <v>30609</v>
      </c>
      <c r="E23" s="51">
        <v>30609</v>
      </c>
      <c r="F23" s="51">
        <v>30609</v>
      </c>
      <c r="G23" s="51">
        <v>30609</v>
      </c>
      <c r="H23" s="51">
        <v>30609</v>
      </c>
      <c r="I23" s="51">
        <v>30609</v>
      </c>
      <c r="J23" s="51">
        <v>33232</v>
      </c>
      <c r="K23" s="51">
        <v>25199</v>
      </c>
      <c r="L23" s="51">
        <v>17563</v>
      </c>
      <c r="M23" s="51"/>
      <c r="N23" s="8" t="s">
        <v>10</v>
      </c>
    </row>
    <row r="24" spans="1:14" ht="12" customHeight="1" x14ac:dyDescent="0.25">
      <c r="A24" s="2" t="s">
        <v>39</v>
      </c>
      <c r="B24" s="24" t="s">
        <v>52</v>
      </c>
      <c r="C24" s="51">
        <v>539</v>
      </c>
      <c r="D24" s="51">
        <v>539</v>
      </c>
      <c r="E24" s="51">
        <v>539</v>
      </c>
      <c r="F24" s="51">
        <v>539</v>
      </c>
      <c r="G24" s="51">
        <v>539</v>
      </c>
      <c r="H24" s="51">
        <v>539</v>
      </c>
      <c r="I24" s="51">
        <v>539</v>
      </c>
      <c r="J24" s="51">
        <v>572</v>
      </c>
      <c r="K24" s="51">
        <v>471</v>
      </c>
      <c r="L24" s="51">
        <v>375</v>
      </c>
      <c r="M24" s="51"/>
      <c r="N24" s="8" t="s">
        <v>10</v>
      </c>
    </row>
    <row r="25" spans="1:14" ht="12" customHeight="1" x14ac:dyDescent="0.2">
      <c r="A25" s="3" t="s">
        <v>80</v>
      </c>
      <c r="B25" s="45" t="s">
        <v>43</v>
      </c>
      <c r="C25" s="51">
        <v>13934</v>
      </c>
      <c r="D25" s="51">
        <v>13943</v>
      </c>
      <c r="E25" s="51">
        <v>13943</v>
      </c>
      <c r="F25" s="51">
        <v>13943</v>
      </c>
      <c r="G25" s="51">
        <v>13943</v>
      </c>
      <c r="H25" s="51">
        <v>13943</v>
      </c>
      <c r="I25" s="51">
        <v>13943</v>
      </c>
      <c r="J25" s="51">
        <v>14267</v>
      </c>
      <c r="K25" s="51">
        <v>14668</v>
      </c>
      <c r="L25" s="51">
        <v>12740</v>
      </c>
      <c r="M25" s="51"/>
      <c r="N25" s="8" t="s">
        <v>10</v>
      </c>
    </row>
    <row r="26" spans="1:14" ht="12" customHeight="1" x14ac:dyDescent="0.25">
      <c r="A26" s="2" t="s">
        <v>40</v>
      </c>
      <c r="B26" s="24" t="s">
        <v>50</v>
      </c>
      <c r="C26" s="51">
        <v>0</v>
      </c>
      <c r="D26" s="51">
        <v>0</v>
      </c>
      <c r="E26" s="51">
        <v>0</v>
      </c>
      <c r="F26" s="51">
        <v>0</v>
      </c>
      <c r="G26" s="51">
        <v>0</v>
      </c>
      <c r="H26" s="51">
        <v>0</v>
      </c>
      <c r="I26" s="51">
        <v>0</v>
      </c>
      <c r="J26" s="51">
        <v>0</v>
      </c>
      <c r="K26" s="51">
        <v>0</v>
      </c>
      <c r="L26" s="51">
        <v>0</v>
      </c>
      <c r="M26" s="51"/>
      <c r="N26" s="8" t="s">
        <v>10</v>
      </c>
    </row>
    <row r="27" spans="1:14" ht="12" customHeight="1" x14ac:dyDescent="0.25">
      <c r="A27" s="2" t="s">
        <v>33</v>
      </c>
      <c r="B27" s="24" t="s">
        <v>44</v>
      </c>
      <c r="C27" s="51">
        <v>0</v>
      </c>
      <c r="D27" s="51">
        <v>0</v>
      </c>
      <c r="E27" s="51">
        <v>0</v>
      </c>
      <c r="F27" s="51">
        <v>0</v>
      </c>
      <c r="G27" s="51">
        <v>0</v>
      </c>
      <c r="H27" s="51">
        <v>0</v>
      </c>
      <c r="I27" s="51">
        <v>0</v>
      </c>
      <c r="J27" s="51">
        <v>0</v>
      </c>
      <c r="K27" s="51">
        <v>0</v>
      </c>
      <c r="L27" s="51">
        <v>0</v>
      </c>
      <c r="M27" s="51"/>
      <c r="N27" s="8" t="s">
        <v>10</v>
      </c>
    </row>
    <row r="28" spans="1:14" ht="12" customHeight="1" x14ac:dyDescent="0.25">
      <c r="A28" s="2" t="s">
        <v>41</v>
      </c>
      <c r="B28" s="24" t="s">
        <v>51</v>
      </c>
      <c r="C28" s="51">
        <v>0</v>
      </c>
      <c r="D28" s="51">
        <v>0</v>
      </c>
      <c r="E28" s="51">
        <v>0</v>
      </c>
      <c r="F28" s="51">
        <v>0</v>
      </c>
      <c r="G28" s="51">
        <v>0</v>
      </c>
      <c r="H28" s="51">
        <v>0</v>
      </c>
      <c r="I28" s="51">
        <v>0</v>
      </c>
      <c r="J28" s="51">
        <v>0</v>
      </c>
      <c r="K28" s="51">
        <v>0</v>
      </c>
      <c r="L28" s="51">
        <v>0</v>
      </c>
      <c r="M28" s="51"/>
      <c r="N28" s="8" t="s">
        <v>10</v>
      </c>
    </row>
    <row r="29" spans="1:14" ht="12" customHeight="1" x14ac:dyDescent="0.25">
      <c r="A29" s="15" t="s">
        <v>5</v>
      </c>
      <c r="B29" s="24" t="s">
        <v>45</v>
      </c>
      <c r="C29" s="51">
        <v>5612</v>
      </c>
      <c r="D29" s="51">
        <v>5612</v>
      </c>
      <c r="E29" s="51">
        <v>5612</v>
      </c>
      <c r="F29" s="51">
        <v>5612</v>
      </c>
      <c r="G29" s="51">
        <v>5612</v>
      </c>
      <c r="H29" s="51">
        <v>5612</v>
      </c>
      <c r="I29" s="51">
        <v>5612</v>
      </c>
      <c r="J29" s="51">
        <v>5355</v>
      </c>
      <c r="K29" s="51">
        <v>980</v>
      </c>
      <c r="L29" s="51">
        <v>2122</v>
      </c>
      <c r="M29" s="51"/>
      <c r="N29" s="8" t="s">
        <v>10</v>
      </c>
    </row>
    <row r="30" spans="1:14" ht="12" customHeight="1" x14ac:dyDescent="0.25">
      <c r="A30" s="15" t="s">
        <v>6</v>
      </c>
      <c r="B30" s="24" t="s">
        <v>46</v>
      </c>
      <c r="C30" s="51">
        <v>2211</v>
      </c>
      <c r="D30" s="51">
        <v>2211</v>
      </c>
      <c r="E30" s="51">
        <v>2211</v>
      </c>
      <c r="F30" s="51">
        <v>2211</v>
      </c>
      <c r="G30" s="51">
        <v>2211</v>
      </c>
      <c r="H30" s="51">
        <v>2211</v>
      </c>
      <c r="I30" s="51">
        <v>2211</v>
      </c>
      <c r="J30" s="51">
        <v>1390</v>
      </c>
      <c r="K30" s="51">
        <v>993</v>
      </c>
      <c r="L30" s="51">
        <v>774</v>
      </c>
      <c r="M30" s="51"/>
      <c r="N30" s="8" t="s">
        <v>10</v>
      </c>
    </row>
    <row r="31" spans="1:14" ht="12" customHeight="1" x14ac:dyDescent="0.25">
      <c r="A31" s="15" t="s">
        <v>7</v>
      </c>
      <c r="B31" s="24" t="s">
        <v>47</v>
      </c>
      <c r="C31" s="51">
        <v>7829</v>
      </c>
      <c r="D31" s="51">
        <v>7829</v>
      </c>
      <c r="E31" s="51">
        <v>7829</v>
      </c>
      <c r="F31" s="51">
        <v>7829</v>
      </c>
      <c r="G31" s="51">
        <v>7829</v>
      </c>
      <c r="H31" s="51">
        <v>7829</v>
      </c>
      <c r="I31" s="51">
        <v>7829</v>
      </c>
      <c r="J31" s="51">
        <v>8087</v>
      </c>
      <c r="K31" s="51">
        <v>7539</v>
      </c>
      <c r="L31" s="51">
        <v>6589</v>
      </c>
      <c r="M31" s="51"/>
      <c r="N31" s="8" t="s">
        <v>10</v>
      </c>
    </row>
    <row r="32" spans="1:14" ht="12" customHeight="1" x14ac:dyDescent="0.2">
      <c r="A32" s="15" t="s">
        <v>8</v>
      </c>
      <c r="B32" s="24" t="s">
        <v>48</v>
      </c>
      <c r="C32" s="51">
        <v>0</v>
      </c>
      <c r="D32" s="51">
        <v>0</v>
      </c>
      <c r="E32" s="51">
        <v>0</v>
      </c>
      <c r="F32" s="51">
        <v>0</v>
      </c>
      <c r="G32" s="51">
        <v>0</v>
      </c>
      <c r="H32" s="51">
        <v>0</v>
      </c>
      <c r="I32" s="51">
        <v>0</v>
      </c>
      <c r="J32" s="51">
        <v>0</v>
      </c>
      <c r="K32" s="51">
        <v>0</v>
      </c>
      <c r="L32" s="51">
        <v>0</v>
      </c>
      <c r="M32" s="51"/>
      <c r="N32" s="8" t="s">
        <v>10</v>
      </c>
    </row>
    <row r="33" spans="1:14" ht="12" customHeight="1" x14ac:dyDescent="0.2">
      <c r="A33" s="15" t="s">
        <v>9</v>
      </c>
      <c r="B33" s="24" t="s">
        <v>49</v>
      </c>
      <c r="C33" s="51">
        <v>3744</v>
      </c>
      <c r="D33" s="51">
        <v>13275</v>
      </c>
      <c r="E33" s="51">
        <v>22749</v>
      </c>
      <c r="F33" s="51">
        <v>32223</v>
      </c>
      <c r="G33" s="51">
        <v>41754</v>
      </c>
      <c r="H33" s="51">
        <v>51285</v>
      </c>
      <c r="I33" s="51">
        <v>60929</v>
      </c>
      <c r="J33" s="51">
        <v>5630</v>
      </c>
      <c r="K33" s="51">
        <v>17436</v>
      </c>
      <c r="L33" s="51">
        <v>4161</v>
      </c>
      <c r="M33" s="51"/>
      <c r="N33" s="8" t="s">
        <v>10</v>
      </c>
    </row>
    <row r="34" spans="1:14" ht="12" customHeight="1" x14ac:dyDescent="0.15">
      <c r="A34" s="16" t="s">
        <v>34</v>
      </c>
      <c r="B34" s="16"/>
      <c r="C34" s="52">
        <f t="shared" ref="C34:M34" si="0">SUM(C23:C31)-C32-C33</f>
        <v>56990</v>
      </c>
      <c r="D34" s="52">
        <f t="shared" si="0"/>
        <v>47468</v>
      </c>
      <c r="E34" s="52">
        <f t="shared" si="0"/>
        <v>37994</v>
      </c>
      <c r="F34" s="52">
        <f t="shared" si="0"/>
        <v>28520</v>
      </c>
      <c r="G34" s="52">
        <f t="shared" si="0"/>
        <v>18989</v>
      </c>
      <c r="H34" s="52">
        <f t="shared" si="0"/>
        <v>9458</v>
      </c>
      <c r="I34" s="52">
        <f t="shared" si="0"/>
        <v>-186</v>
      </c>
      <c r="J34" s="52">
        <f t="shared" si="0"/>
        <v>57273</v>
      </c>
      <c r="K34" s="52">
        <f t="shared" si="0"/>
        <v>32414</v>
      </c>
      <c r="L34" s="52">
        <f t="shared" si="0"/>
        <v>36002</v>
      </c>
      <c r="M34" s="52">
        <f t="shared" si="0"/>
        <v>0</v>
      </c>
      <c r="N34" s="8" t="s">
        <v>10</v>
      </c>
    </row>
    <row r="35" spans="1:14" ht="12" customHeight="1" x14ac:dyDescent="0.15">
      <c r="A35" s="16"/>
      <c r="B35" s="16"/>
      <c r="C35" s="38"/>
      <c r="D35" s="38"/>
      <c r="E35" s="38"/>
      <c r="F35" s="38"/>
      <c r="G35" s="38"/>
      <c r="H35" s="38"/>
      <c r="I35" s="38"/>
      <c r="J35" s="38"/>
      <c r="K35" s="38"/>
      <c r="L35" s="38"/>
      <c r="M35" s="38"/>
      <c r="N35" s="38"/>
    </row>
    <row r="36" spans="1:14" ht="12" customHeight="1" x14ac:dyDescent="0.15">
      <c r="A36" s="16" t="s">
        <v>14</v>
      </c>
      <c r="B36" s="16"/>
      <c r="C36" s="8"/>
      <c r="D36" s="8"/>
      <c r="E36" s="8"/>
      <c r="F36" s="8"/>
      <c r="G36" s="8"/>
      <c r="H36" s="8"/>
      <c r="I36" s="8"/>
      <c r="J36" s="8"/>
      <c r="K36" s="8"/>
      <c r="L36" s="8"/>
      <c r="M36" s="8"/>
      <c r="N36" s="8"/>
    </row>
    <row r="37" spans="1:14" ht="12" customHeight="1" x14ac:dyDescent="0.15">
      <c r="A37" s="15" t="s">
        <v>13</v>
      </c>
      <c r="B37" s="16"/>
      <c r="C37" s="46">
        <v>1267</v>
      </c>
      <c r="D37" s="46">
        <v>1267</v>
      </c>
      <c r="E37" s="46">
        <v>1267</v>
      </c>
      <c r="F37" s="46">
        <v>1267</v>
      </c>
      <c r="G37" s="46">
        <v>1267</v>
      </c>
      <c r="H37" s="46">
        <v>1267</v>
      </c>
      <c r="I37" s="46">
        <v>1267</v>
      </c>
      <c r="J37" s="46">
        <v>1351</v>
      </c>
      <c r="K37" s="46">
        <v>1134</v>
      </c>
      <c r="L37" s="46">
        <v>862</v>
      </c>
      <c r="M37" s="46"/>
      <c r="N37" s="27" t="s">
        <v>18</v>
      </c>
    </row>
    <row r="38" spans="1:14" ht="12" customHeight="1" x14ac:dyDescent="0.15">
      <c r="A38" s="15" t="s">
        <v>73</v>
      </c>
      <c r="B38" s="16"/>
      <c r="C38" s="49">
        <v>35.17</v>
      </c>
      <c r="D38" s="49">
        <v>35.17</v>
      </c>
      <c r="E38" s="49">
        <v>35.17</v>
      </c>
      <c r="F38" s="49">
        <v>35.17</v>
      </c>
      <c r="G38" s="49">
        <v>35.17</v>
      </c>
      <c r="H38" s="49">
        <v>35.17</v>
      </c>
      <c r="I38" s="49">
        <v>35.17</v>
      </c>
      <c r="J38" s="49">
        <v>35.17</v>
      </c>
      <c r="K38" s="49">
        <v>35.17</v>
      </c>
      <c r="L38" s="49">
        <v>35.17</v>
      </c>
      <c r="M38" s="49">
        <v>35.17</v>
      </c>
      <c r="N38" s="27" t="s">
        <v>74</v>
      </c>
    </row>
    <row r="39" spans="1:14" ht="12" customHeight="1" x14ac:dyDescent="0.15">
      <c r="A39" s="15" t="s">
        <v>70</v>
      </c>
      <c r="B39" s="16"/>
      <c r="C39" s="31">
        <f>C38*C37</f>
        <v>44560.39</v>
      </c>
      <c r="D39" s="31">
        <f t="shared" ref="D39:M39" si="1">D38*D37</f>
        <v>44560.39</v>
      </c>
      <c r="E39" s="31">
        <f t="shared" si="1"/>
        <v>44560.39</v>
      </c>
      <c r="F39" s="31">
        <f t="shared" ref="F39" si="2">F38*F37</f>
        <v>44560.39</v>
      </c>
      <c r="G39" s="31">
        <f t="shared" ref="G39:I39" si="3">G38*G37</f>
        <v>44560.39</v>
      </c>
      <c r="H39" s="31">
        <f t="shared" si="3"/>
        <v>44560.39</v>
      </c>
      <c r="I39" s="31">
        <f t="shared" si="3"/>
        <v>44560.39</v>
      </c>
      <c r="J39" s="31">
        <f>J38*J37</f>
        <v>47514.670000000006</v>
      </c>
      <c r="K39" s="31">
        <f>K38*K37</f>
        <v>39882.78</v>
      </c>
      <c r="L39" s="31">
        <f>L38*L37</f>
        <v>30316.54</v>
      </c>
      <c r="M39" s="31">
        <f t="shared" si="1"/>
        <v>0</v>
      </c>
      <c r="N39" s="27" t="s">
        <v>10</v>
      </c>
    </row>
    <row r="40" spans="1:14" ht="12" customHeight="1" x14ac:dyDescent="0.15">
      <c r="A40" s="15"/>
      <c r="B40" s="16"/>
      <c r="C40" s="31"/>
      <c r="D40" s="31"/>
      <c r="E40" s="31"/>
      <c r="F40" s="31"/>
      <c r="G40" s="31"/>
      <c r="H40" s="31"/>
      <c r="I40" s="31"/>
      <c r="J40" s="31"/>
      <c r="K40" s="31"/>
      <c r="L40" s="31"/>
      <c r="M40" s="31"/>
      <c r="N40" s="27"/>
    </row>
    <row r="41" spans="1:14" ht="12" customHeight="1" x14ac:dyDescent="0.15">
      <c r="A41" s="16" t="s">
        <v>15</v>
      </c>
      <c r="B41" s="16"/>
      <c r="C41" s="8"/>
      <c r="D41" s="8"/>
      <c r="E41" s="8"/>
      <c r="F41" s="8"/>
      <c r="G41" s="8"/>
      <c r="H41" s="8"/>
      <c r="I41" s="8"/>
      <c r="J41" s="8"/>
      <c r="K41" s="8"/>
      <c r="L41" s="8"/>
      <c r="M41" s="8"/>
      <c r="N41" s="8"/>
    </row>
    <row r="42" spans="1:14" ht="12" customHeight="1" x14ac:dyDescent="0.15">
      <c r="A42" s="15" t="s">
        <v>13</v>
      </c>
      <c r="B42" s="16"/>
      <c r="C42" s="46">
        <v>1757</v>
      </c>
      <c r="D42" s="46">
        <v>1757</v>
      </c>
      <c r="E42" s="46">
        <v>1757</v>
      </c>
      <c r="F42" s="46">
        <v>1757</v>
      </c>
      <c r="G42" s="46">
        <v>1757</v>
      </c>
      <c r="H42" s="46">
        <v>1757</v>
      </c>
      <c r="I42" s="46">
        <v>1757</v>
      </c>
      <c r="J42" s="46">
        <v>1671</v>
      </c>
      <c r="K42" s="46">
        <v>1083</v>
      </c>
      <c r="L42" s="46">
        <v>1070</v>
      </c>
      <c r="M42" s="46"/>
      <c r="N42" s="27" t="s">
        <v>19</v>
      </c>
    </row>
    <row r="43" spans="1:14" ht="12" customHeight="1" x14ac:dyDescent="0.15">
      <c r="A43" s="15" t="s">
        <v>81</v>
      </c>
      <c r="B43" s="16"/>
      <c r="C43" s="46">
        <v>4762</v>
      </c>
      <c r="D43" s="46">
        <v>4762</v>
      </c>
      <c r="E43" s="46">
        <v>4762</v>
      </c>
      <c r="F43" s="46">
        <v>4762</v>
      </c>
      <c r="G43" s="46">
        <v>4762</v>
      </c>
      <c r="H43" s="46">
        <v>4762</v>
      </c>
      <c r="I43" s="46">
        <v>4762</v>
      </c>
      <c r="J43" s="46">
        <v>4920</v>
      </c>
      <c r="K43" s="46">
        <v>4586</v>
      </c>
      <c r="L43" s="46">
        <v>4009</v>
      </c>
      <c r="M43" s="46"/>
      <c r="N43" s="27" t="s">
        <v>19</v>
      </c>
    </row>
    <row r="44" spans="1:14" ht="12" customHeight="1" x14ac:dyDescent="0.15">
      <c r="A44" s="15" t="s">
        <v>9</v>
      </c>
      <c r="B44" s="16"/>
      <c r="C44" s="47">
        <v>406</v>
      </c>
      <c r="D44" s="47">
        <v>1440</v>
      </c>
      <c r="E44" s="47">
        <v>2468</v>
      </c>
      <c r="F44" s="47">
        <v>3496</v>
      </c>
      <c r="G44" s="47">
        <v>4531</v>
      </c>
      <c r="H44" s="47">
        <v>5565</v>
      </c>
      <c r="I44" s="47">
        <v>6519</v>
      </c>
      <c r="J44" s="47">
        <v>611</v>
      </c>
      <c r="K44" s="47">
        <v>1892</v>
      </c>
      <c r="L44" s="47">
        <v>452</v>
      </c>
      <c r="M44" s="47"/>
      <c r="N44" s="27" t="s">
        <v>19</v>
      </c>
    </row>
    <row r="45" spans="1:14" ht="12" customHeight="1" x14ac:dyDescent="0.15">
      <c r="A45" s="15" t="s">
        <v>71</v>
      </c>
      <c r="B45" s="16"/>
      <c r="C45" s="50">
        <f t="shared" ref="C45" si="4">(C42+C43-C44)*3.6</f>
        <v>22006.799999999999</v>
      </c>
      <c r="D45" s="50">
        <f t="shared" ref="D45" si="5">(D42+D43-D44)*3.6</f>
        <v>18284.400000000001</v>
      </c>
      <c r="E45" s="50">
        <f t="shared" ref="E45" si="6">(E42+E43-E44)*3.6</f>
        <v>14583.6</v>
      </c>
      <c r="F45" s="50">
        <f t="shared" ref="F45" si="7">(F42+F43-F44)*3.6</f>
        <v>10882.800000000001</v>
      </c>
      <c r="G45" s="50">
        <f t="shared" ref="G45" si="8">(G42+G43-G44)*3.6</f>
        <v>7156.8</v>
      </c>
      <c r="H45" s="50">
        <f t="shared" ref="H45" si="9">(H42+H43-H44)*3.6</f>
        <v>3434.4</v>
      </c>
      <c r="I45" s="50">
        <f t="shared" ref="I45" si="10">(I42+I43-I44)*3.6</f>
        <v>0</v>
      </c>
      <c r="J45" s="50">
        <f t="shared" ref="J45" si="11">(J42+J43-J44)*3.6</f>
        <v>21528</v>
      </c>
      <c r="K45" s="50">
        <f t="shared" ref="K45" si="12">(K42+K43-K44)*3.6</f>
        <v>13597.2</v>
      </c>
      <c r="L45" s="50">
        <f t="shared" ref="L45" si="13">(L42+L43-L44)*3.6</f>
        <v>16657.2</v>
      </c>
      <c r="M45" s="50">
        <f t="shared" ref="M45" si="14">(M42+M43-M44)*3.6</f>
        <v>0</v>
      </c>
      <c r="N45" s="27" t="s">
        <v>10</v>
      </c>
    </row>
    <row r="46" spans="1:14" ht="12" customHeight="1" x14ac:dyDescent="0.15">
      <c r="A46" s="15"/>
      <c r="B46" s="24"/>
      <c r="C46" s="31"/>
      <c r="D46" s="31"/>
      <c r="E46" s="31"/>
      <c r="F46" s="31"/>
      <c r="G46" s="31"/>
      <c r="H46" s="31"/>
      <c r="I46" s="31"/>
      <c r="J46" s="31"/>
      <c r="K46" s="31"/>
      <c r="L46" s="31"/>
      <c r="M46" s="31"/>
      <c r="N46" s="27"/>
    </row>
    <row r="47" spans="1:14" ht="12" customHeight="1" x14ac:dyDescent="0.15">
      <c r="A47" s="16" t="s">
        <v>69</v>
      </c>
      <c r="B47" s="24"/>
      <c r="C47" s="31"/>
      <c r="D47" s="31"/>
      <c r="E47" s="31"/>
      <c r="F47" s="31"/>
      <c r="G47" s="31"/>
      <c r="H47" s="31"/>
      <c r="I47" s="31"/>
      <c r="J47" s="31"/>
      <c r="K47" s="31"/>
      <c r="L47" s="31"/>
      <c r="M47" s="31"/>
      <c r="N47" s="27"/>
    </row>
    <row r="48" spans="1:14" ht="12" customHeight="1" x14ac:dyDescent="0.15">
      <c r="A48" s="4" t="s">
        <v>20</v>
      </c>
      <c r="B48" s="24" t="s">
        <v>24</v>
      </c>
      <c r="C48" s="31">
        <f t="shared" ref="C48:M48" si="15">IF(C18="",0,C49/C18)</f>
        <v>335.45235152157284</v>
      </c>
      <c r="D48" s="31">
        <f t="shared" si="15"/>
        <v>279.4043204426394</v>
      </c>
      <c r="E48" s="31">
        <f t="shared" si="15"/>
        <v>223.63882512213786</v>
      </c>
      <c r="F48" s="31">
        <f t="shared" si="15"/>
        <v>167.87332980163637</v>
      </c>
      <c r="G48" s="31">
        <f t="shared" si="15"/>
        <v>111.77232326799695</v>
      </c>
      <c r="H48" s="31">
        <f t="shared" si="15"/>
        <v>55.671316734357532</v>
      </c>
      <c r="I48" s="31">
        <f t="shared" si="15"/>
        <v>-1.0948260639237155</v>
      </c>
      <c r="J48" s="31">
        <f t="shared" si="15"/>
        <v>326.34188034188037</v>
      </c>
      <c r="K48" s="31">
        <f t="shared" si="15"/>
        <v>198.12958435207824</v>
      </c>
      <c r="L48" s="31">
        <f t="shared" si="15"/>
        <v>251.76223776223776</v>
      </c>
      <c r="M48" s="31">
        <f t="shared" si="15"/>
        <v>0</v>
      </c>
      <c r="N48" s="27" t="s">
        <v>0</v>
      </c>
    </row>
    <row r="49" spans="1:15" ht="12" customHeight="1" x14ac:dyDescent="0.2">
      <c r="A49" s="4" t="s">
        <v>21</v>
      </c>
      <c r="B49" s="24" t="s">
        <v>55</v>
      </c>
      <c r="C49" s="31">
        <f t="shared" ref="C49:M49" si="16">C34</f>
        <v>56990</v>
      </c>
      <c r="D49" s="31">
        <f t="shared" si="16"/>
        <v>47468</v>
      </c>
      <c r="E49" s="31">
        <f t="shared" si="16"/>
        <v>37994</v>
      </c>
      <c r="F49" s="31">
        <f t="shared" ref="F49" si="17">F34</f>
        <v>28520</v>
      </c>
      <c r="G49" s="31">
        <f t="shared" ref="G49:I49" si="18">G34</f>
        <v>18989</v>
      </c>
      <c r="H49" s="31">
        <f t="shared" si="18"/>
        <v>9458</v>
      </c>
      <c r="I49" s="31">
        <f t="shared" si="18"/>
        <v>-186</v>
      </c>
      <c r="J49" s="31">
        <f>J34</f>
        <v>57273</v>
      </c>
      <c r="K49" s="31">
        <f>K34</f>
        <v>32414</v>
      </c>
      <c r="L49" s="31">
        <f>L34</f>
        <v>36002</v>
      </c>
      <c r="M49" s="31">
        <f t="shared" si="16"/>
        <v>0</v>
      </c>
      <c r="N49" s="24" t="s">
        <v>10</v>
      </c>
    </row>
    <row r="50" spans="1:15" ht="12" customHeight="1" x14ac:dyDescent="0.2">
      <c r="A50" s="4" t="s">
        <v>22</v>
      </c>
      <c r="B50" s="24" t="s">
        <v>56</v>
      </c>
      <c r="C50" s="31">
        <f t="shared" ref="C50:M50" si="19">IF(C18="",0,(C51*C18+C52*C19+C53*C55)*C54*C56)</f>
        <v>57034.889999999992</v>
      </c>
      <c r="D50" s="31">
        <f t="shared" si="19"/>
        <v>57034.889999999992</v>
      </c>
      <c r="E50" s="31">
        <f t="shared" si="19"/>
        <v>57034.889999999992</v>
      </c>
      <c r="F50" s="31">
        <f t="shared" si="19"/>
        <v>57034.889999999992</v>
      </c>
      <c r="G50" s="31">
        <f t="shared" si="19"/>
        <v>57034.889999999992</v>
      </c>
      <c r="H50" s="31">
        <f t="shared" si="19"/>
        <v>57034.889999999992</v>
      </c>
      <c r="I50" s="31">
        <f t="shared" si="19"/>
        <v>57034.889999999992</v>
      </c>
      <c r="J50" s="31">
        <f t="shared" si="19"/>
        <v>57668.82</v>
      </c>
      <c r="K50" s="31">
        <f t="shared" si="19"/>
        <v>50304.42</v>
      </c>
      <c r="L50" s="31">
        <f t="shared" si="19"/>
        <v>42664.139999999992</v>
      </c>
      <c r="M50" s="31">
        <f t="shared" si="19"/>
        <v>0</v>
      </c>
      <c r="N50" s="24" t="s">
        <v>10</v>
      </c>
    </row>
    <row r="51" spans="1:15" ht="12" customHeight="1" x14ac:dyDescent="0.2">
      <c r="A51" s="4" t="s">
        <v>27</v>
      </c>
      <c r="B51" s="24" t="s">
        <v>57</v>
      </c>
      <c r="C51" s="32">
        <v>310</v>
      </c>
      <c r="D51" s="32">
        <v>310</v>
      </c>
      <c r="E51" s="32">
        <v>310</v>
      </c>
      <c r="F51" s="32">
        <v>310</v>
      </c>
      <c r="G51" s="32">
        <v>310</v>
      </c>
      <c r="H51" s="32">
        <v>310</v>
      </c>
      <c r="I51" s="32">
        <v>310</v>
      </c>
      <c r="J51" s="32">
        <v>310</v>
      </c>
      <c r="K51" s="32">
        <v>310</v>
      </c>
      <c r="L51" s="32">
        <v>310</v>
      </c>
      <c r="M51" s="32">
        <v>310</v>
      </c>
      <c r="N51" s="27" t="s">
        <v>0</v>
      </c>
    </row>
    <row r="52" spans="1:15" ht="12" customHeight="1" x14ac:dyDescent="0.2">
      <c r="A52" s="4" t="s">
        <v>28</v>
      </c>
      <c r="B52" s="24" t="s">
        <v>58</v>
      </c>
      <c r="C52" s="32">
        <v>85</v>
      </c>
      <c r="D52" s="32">
        <v>85</v>
      </c>
      <c r="E52" s="32">
        <v>85</v>
      </c>
      <c r="F52" s="32">
        <v>85</v>
      </c>
      <c r="G52" s="32">
        <v>85</v>
      </c>
      <c r="H52" s="32">
        <v>85</v>
      </c>
      <c r="I52" s="32">
        <v>85</v>
      </c>
      <c r="J52" s="32">
        <v>85</v>
      </c>
      <c r="K52" s="32">
        <v>85</v>
      </c>
      <c r="L52" s="32">
        <v>85</v>
      </c>
      <c r="M52" s="32">
        <v>85</v>
      </c>
      <c r="N52" s="27" t="s">
        <v>0</v>
      </c>
    </row>
    <row r="53" spans="1:15" ht="12" customHeight="1" x14ac:dyDescent="0.2">
      <c r="A53" s="4" t="s">
        <v>29</v>
      </c>
      <c r="B53" s="24" t="s">
        <v>59</v>
      </c>
      <c r="C53" s="32">
        <f t="shared" ref="C53:M53" si="20">IF(C18/C55&gt;=70,9000,19500)</f>
        <v>9000</v>
      </c>
      <c r="D53" s="32">
        <f t="shared" si="20"/>
        <v>9000</v>
      </c>
      <c r="E53" s="32">
        <f t="shared" si="20"/>
        <v>9000</v>
      </c>
      <c r="F53" s="32">
        <f t="shared" si="20"/>
        <v>9000</v>
      </c>
      <c r="G53" s="32">
        <f t="shared" si="20"/>
        <v>9000</v>
      </c>
      <c r="H53" s="32">
        <f t="shared" si="20"/>
        <v>9000</v>
      </c>
      <c r="I53" s="32">
        <f t="shared" si="20"/>
        <v>9000</v>
      </c>
      <c r="J53" s="32">
        <f t="shared" si="20"/>
        <v>9000</v>
      </c>
      <c r="K53" s="32">
        <f t="shared" si="20"/>
        <v>9000</v>
      </c>
      <c r="L53" s="32">
        <f t="shared" si="20"/>
        <v>9000</v>
      </c>
      <c r="M53" s="32">
        <f t="shared" si="20"/>
        <v>19500</v>
      </c>
      <c r="N53" s="27" t="s">
        <v>10</v>
      </c>
    </row>
    <row r="54" spans="1:15" ht="12" customHeight="1" x14ac:dyDescent="0.2">
      <c r="A54" s="4" t="s">
        <v>67</v>
      </c>
      <c r="B54" s="24" t="s">
        <v>60</v>
      </c>
      <c r="C54" s="33">
        <v>1</v>
      </c>
      <c r="D54" s="33">
        <v>1</v>
      </c>
      <c r="E54" s="33">
        <v>1</v>
      </c>
      <c r="F54" s="33">
        <v>1</v>
      </c>
      <c r="G54" s="33">
        <v>1</v>
      </c>
      <c r="H54" s="33">
        <v>1</v>
      </c>
      <c r="I54" s="33">
        <v>1</v>
      </c>
      <c r="J54" s="33">
        <v>1</v>
      </c>
      <c r="K54" s="33">
        <v>1</v>
      </c>
      <c r="L54" s="33">
        <v>1</v>
      </c>
      <c r="M54" s="33">
        <v>1</v>
      </c>
      <c r="N54" s="36" t="s">
        <v>25</v>
      </c>
    </row>
    <row r="55" spans="1:15" ht="12" customHeight="1" x14ac:dyDescent="0.2">
      <c r="A55" s="4" t="s">
        <v>30</v>
      </c>
      <c r="B55" s="24" t="s">
        <v>61</v>
      </c>
      <c r="C55" s="33">
        <v>1</v>
      </c>
      <c r="D55" s="33">
        <v>1</v>
      </c>
      <c r="E55" s="33">
        <v>1</v>
      </c>
      <c r="F55" s="33">
        <v>1</v>
      </c>
      <c r="G55" s="33">
        <v>1</v>
      </c>
      <c r="H55" s="33">
        <v>1</v>
      </c>
      <c r="I55" s="33">
        <v>1</v>
      </c>
      <c r="J55" s="33">
        <v>1</v>
      </c>
      <c r="K55" s="33">
        <v>1</v>
      </c>
      <c r="L55" s="33">
        <v>1</v>
      </c>
      <c r="M55" s="33">
        <v>1</v>
      </c>
      <c r="N55" s="36" t="s">
        <v>25</v>
      </c>
    </row>
    <row r="56" spans="1:15" ht="12" customHeight="1" x14ac:dyDescent="0.2">
      <c r="A56" s="4" t="s">
        <v>26</v>
      </c>
      <c r="B56" s="24" t="s">
        <v>62</v>
      </c>
      <c r="C56" s="34">
        <v>0.6</v>
      </c>
      <c r="D56" s="49">
        <f>$C$56</f>
        <v>0.6</v>
      </c>
      <c r="E56" s="49">
        <f t="shared" ref="E56:M56" si="21">$C$56</f>
        <v>0.6</v>
      </c>
      <c r="F56" s="49">
        <f t="shared" si="21"/>
        <v>0.6</v>
      </c>
      <c r="G56" s="49">
        <f t="shared" si="21"/>
        <v>0.6</v>
      </c>
      <c r="H56" s="49">
        <f t="shared" si="21"/>
        <v>0.6</v>
      </c>
      <c r="I56" s="49">
        <f t="shared" si="21"/>
        <v>0.6</v>
      </c>
      <c r="J56" s="49">
        <f t="shared" si="21"/>
        <v>0.6</v>
      </c>
      <c r="K56" s="49">
        <f t="shared" si="21"/>
        <v>0.6</v>
      </c>
      <c r="L56" s="49">
        <f t="shared" si="21"/>
        <v>0.6</v>
      </c>
      <c r="M56" s="49">
        <f t="shared" si="21"/>
        <v>0.6</v>
      </c>
      <c r="N56" s="36" t="s">
        <v>25</v>
      </c>
    </row>
    <row r="57" spans="1:15" ht="12" customHeight="1" x14ac:dyDescent="0.15">
      <c r="A57" s="4" t="s">
        <v>23</v>
      </c>
      <c r="B57" s="24" t="s">
        <v>4</v>
      </c>
      <c r="C57" s="39">
        <f t="shared" ref="C57:M57" si="22">CEILING(C49/((C51*C18+C52*C19+C53*C55)*C54),0.001)</f>
        <v>0.6</v>
      </c>
      <c r="D57" s="39">
        <f t="shared" si="22"/>
        <v>0.5</v>
      </c>
      <c r="E57" s="39">
        <f t="shared" si="22"/>
        <v>0.4</v>
      </c>
      <c r="F57" s="39">
        <f t="shared" si="22"/>
        <v>0.30099999999999999</v>
      </c>
      <c r="G57" s="39">
        <f t="shared" si="22"/>
        <v>0.2</v>
      </c>
      <c r="H57" s="39">
        <f t="shared" si="22"/>
        <v>0.1</v>
      </c>
      <c r="I57" s="39">
        <f t="shared" si="22"/>
        <v>-1E-3</v>
      </c>
      <c r="J57" s="39">
        <f t="shared" si="22"/>
        <v>0.59599999999999997</v>
      </c>
      <c r="K57" s="39">
        <f t="shared" si="22"/>
        <v>0.38700000000000001</v>
      </c>
      <c r="L57" s="39">
        <f t="shared" si="22"/>
        <v>0.50700000000000001</v>
      </c>
      <c r="M57" s="39">
        <f t="shared" si="22"/>
        <v>0</v>
      </c>
      <c r="N57" s="36" t="s">
        <v>25</v>
      </c>
    </row>
    <row r="58" spans="1:15" ht="12" customHeight="1" x14ac:dyDescent="0.15">
      <c r="A58" s="58"/>
      <c r="B58" s="58"/>
      <c r="C58" s="60">
        <f t="shared" ref="C58:M58" si="23">IF(C18="",0,CEILING(C49/C50*C56,0.01))</f>
        <v>0.6</v>
      </c>
      <c r="D58" s="60">
        <f t="shared" si="23"/>
        <v>0.5</v>
      </c>
      <c r="E58" s="60">
        <f t="shared" si="23"/>
        <v>0.4</v>
      </c>
      <c r="F58" s="60">
        <f t="shared" si="23"/>
        <v>0.31</v>
      </c>
      <c r="G58" s="60">
        <f t="shared" si="23"/>
        <v>0.2</v>
      </c>
      <c r="H58" s="60">
        <f t="shared" si="23"/>
        <v>0.1</v>
      </c>
      <c r="I58" s="60">
        <f t="shared" si="23"/>
        <v>0</v>
      </c>
      <c r="J58" s="60">
        <f t="shared" si="23"/>
        <v>0.6</v>
      </c>
      <c r="K58" s="60">
        <f t="shared" si="23"/>
        <v>0.39</v>
      </c>
      <c r="L58" s="60">
        <f t="shared" si="23"/>
        <v>0.51</v>
      </c>
      <c r="M58" s="60">
        <f t="shared" si="23"/>
        <v>0</v>
      </c>
      <c r="N58" s="59" t="s">
        <v>25</v>
      </c>
    </row>
    <row r="59" spans="1:15" ht="12" customHeight="1" x14ac:dyDescent="0.15">
      <c r="C59" s="35"/>
      <c r="D59" s="35"/>
      <c r="E59" s="35"/>
      <c r="F59" s="35"/>
      <c r="G59" s="35"/>
      <c r="H59" s="35"/>
      <c r="I59" s="35"/>
      <c r="J59" s="35"/>
      <c r="K59" s="35"/>
      <c r="L59" s="35"/>
      <c r="M59" s="35"/>
      <c r="N59" s="36"/>
    </row>
    <row r="60" spans="1:15" ht="15" customHeight="1" x14ac:dyDescent="0.15">
      <c r="A60" s="64" t="s">
        <v>65</v>
      </c>
      <c r="B60" s="65"/>
      <c r="C60" s="65"/>
      <c r="D60" s="65"/>
      <c r="E60" s="65"/>
      <c r="F60" s="65"/>
      <c r="G60" s="65"/>
      <c r="H60" s="65"/>
      <c r="I60" s="65"/>
      <c r="J60" s="65"/>
      <c r="K60" s="65"/>
      <c r="L60" s="65"/>
      <c r="M60" s="65"/>
      <c r="N60" s="65"/>
    </row>
    <row r="61" spans="1:15" ht="12" customHeight="1" x14ac:dyDescent="0.2">
      <c r="A61" s="29" t="s">
        <v>75</v>
      </c>
      <c r="B61" s="24" t="s">
        <v>82</v>
      </c>
      <c r="C61" s="31">
        <f t="shared" ref="C61:L61" si="24">C39+C42*3.6</f>
        <v>50885.59</v>
      </c>
      <c r="D61" s="31">
        <f t="shared" si="24"/>
        <v>50885.59</v>
      </c>
      <c r="E61" s="31">
        <f t="shared" si="24"/>
        <v>50885.59</v>
      </c>
      <c r="F61" s="31">
        <f t="shared" si="24"/>
        <v>50885.59</v>
      </c>
      <c r="G61" s="31">
        <f t="shared" si="24"/>
        <v>50885.59</v>
      </c>
      <c r="H61" s="31">
        <f t="shared" si="24"/>
        <v>50885.59</v>
      </c>
      <c r="I61" s="31">
        <f t="shared" si="24"/>
        <v>50885.59</v>
      </c>
      <c r="J61" s="31">
        <f t="shared" si="24"/>
        <v>53530.270000000004</v>
      </c>
      <c r="K61" s="31">
        <f t="shared" si="24"/>
        <v>43781.58</v>
      </c>
      <c r="L61" s="31">
        <f t="shared" si="24"/>
        <v>34168.54</v>
      </c>
      <c r="M61" s="31">
        <f>M39+M42*3.6</f>
        <v>0</v>
      </c>
      <c r="N61" s="24" t="s">
        <v>10</v>
      </c>
    </row>
    <row r="62" spans="1:15" ht="12" customHeight="1" x14ac:dyDescent="0.2">
      <c r="A62" s="1"/>
      <c r="B62" s="24" t="s">
        <v>63</v>
      </c>
      <c r="C62" s="31">
        <f t="shared" ref="C62:M62" si="25">IF(C18="","",C61/C18)</f>
        <v>299.52080758137618</v>
      </c>
      <c r="D62" s="31">
        <f t="shared" si="25"/>
        <v>299.52080758137618</v>
      </c>
      <c r="E62" s="31">
        <f t="shared" si="25"/>
        <v>299.52080758137618</v>
      </c>
      <c r="F62" s="31">
        <f t="shared" si="25"/>
        <v>299.52080758137618</v>
      </c>
      <c r="G62" s="31">
        <f t="shared" si="25"/>
        <v>299.52080758137618</v>
      </c>
      <c r="H62" s="31">
        <f t="shared" si="25"/>
        <v>299.52080758137618</v>
      </c>
      <c r="I62" s="31">
        <f t="shared" si="25"/>
        <v>299.52080758137618</v>
      </c>
      <c r="J62" s="31">
        <f t="shared" si="25"/>
        <v>305.01578347578351</v>
      </c>
      <c r="K62" s="31">
        <f t="shared" si="25"/>
        <v>267.61356968215159</v>
      </c>
      <c r="L62" s="31">
        <f t="shared" si="25"/>
        <v>238.94083916083918</v>
      </c>
      <c r="M62" s="31" t="str">
        <f t="shared" si="25"/>
        <v/>
      </c>
      <c r="N62" s="27" t="s">
        <v>0</v>
      </c>
    </row>
    <row r="63" spans="1:15" ht="12" customHeight="1" x14ac:dyDescent="0.2">
      <c r="A63" s="1"/>
      <c r="B63" s="29" t="s">
        <v>31</v>
      </c>
      <c r="C63" s="40" t="str">
        <f>IF(C62&lt;=150,"1.",IF(C62&lt;=225,"2.",IF(C62&lt;=300,"3.",IF(C62&lt;=450,"4.","voldoet niet"))))</f>
        <v>3.</v>
      </c>
      <c r="D63" s="40" t="str">
        <f t="shared" ref="D63:M63" si="26">IF(D62&lt;=150,"1.",IF(D62&lt;=225,"2.",IF(D62&lt;=300,"3.",IF(D62&lt;=450,"4.","voldoet niet"))))</f>
        <v>3.</v>
      </c>
      <c r="E63" s="40" t="str">
        <f t="shared" si="26"/>
        <v>3.</v>
      </c>
      <c r="F63" s="40" t="str">
        <f t="shared" si="26"/>
        <v>3.</v>
      </c>
      <c r="G63" s="40" t="str">
        <f t="shared" si="26"/>
        <v>3.</v>
      </c>
      <c r="H63" s="40" t="str">
        <f t="shared" si="26"/>
        <v>3.</v>
      </c>
      <c r="I63" s="40" t="str">
        <f t="shared" si="26"/>
        <v>3.</v>
      </c>
      <c r="J63" s="40" t="str">
        <f t="shared" si="26"/>
        <v>4.</v>
      </c>
      <c r="K63" s="40" t="str">
        <f t="shared" si="26"/>
        <v>3.</v>
      </c>
      <c r="L63" s="40" t="str">
        <f t="shared" si="26"/>
        <v>3.</v>
      </c>
      <c r="M63" s="40" t="str">
        <f t="shared" si="26"/>
        <v>voldoet niet</v>
      </c>
      <c r="N63" s="36" t="s">
        <v>25</v>
      </c>
      <c r="O63" s="68"/>
    </row>
    <row r="64" spans="1:15" ht="12" customHeight="1" x14ac:dyDescent="0.2">
      <c r="A64" s="1"/>
      <c r="B64" s="29"/>
      <c r="C64" s="53"/>
      <c r="D64" s="53"/>
      <c r="E64" s="53"/>
      <c r="F64" s="53"/>
      <c r="G64" s="53"/>
      <c r="H64" s="53"/>
      <c r="I64" s="53"/>
      <c r="J64" s="53"/>
      <c r="K64" s="53"/>
      <c r="L64" s="53"/>
      <c r="M64" s="53"/>
      <c r="N64" s="36"/>
    </row>
    <row r="65" spans="1:15" ht="12" customHeight="1" x14ac:dyDescent="0.15">
      <c r="A65" s="29" t="s">
        <v>76</v>
      </c>
      <c r="B65" s="24"/>
      <c r="C65" s="62">
        <f t="shared" ref="C65:M65" si="27">IF(C18="",0,C44/(C42+C43))</f>
        <v>6.2279490719435497E-2</v>
      </c>
      <c r="D65" s="62">
        <f t="shared" si="27"/>
        <v>0.22089277496548551</v>
      </c>
      <c r="E65" s="62">
        <f t="shared" si="27"/>
        <v>0.37858567264917931</v>
      </c>
      <c r="F65" s="62">
        <f t="shared" si="27"/>
        <v>0.53627857033287318</v>
      </c>
      <c r="G65" s="62">
        <f t="shared" si="27"/>
        <v>0.6950452523393158</v>
      </c>
      <c r="H65" s="62">
        <f t="shared" si="27"/>
        <v>0.85365853658536583</v>
      </c>
      <c r="I65" s="62">
        <f t="shared" si="27"/>
        <v>1</v>
      </c>
      <c r="J65" s="62">
        <f t="shared" si="27"/>
        <v>9.270216962524655E-2</v>
      </c>
      <c r="K65" s="62">
        <f t="shared" si="27"/>
        <v>0.3337449285588287</v>
      </c>
      <c r="L65" s="62">
        <f t="shared" si="27"/>
        <v>8.8993896436306355E-2</v>
      </c>
      <c r="M65" s="62">
        <f t="shared" si="27"/>
        <v>0</v>
      </c>
      <c r="N65" s="36"/>
    </row>
    <row r="66" spans="1:15" ht="12" customHeight="1" x14ac:dyDescent="0.2">
      <c r="A66" s="1"/>
      <c r="B66" s="29" t="s">
        <v>31</v>
      </c>
      <c r="C66" s="40" t="str">
        <f>IF(C65&gt;=100%,"1.",IF(C65&gt;=75%,"2.",IF(C65&gt;=50%,"3.",IF(C65&gt;=25%,"4.","voldoet niet"))))</f>
        <v>voldoet niet</v>
      </c>
      <c r="D66" s="40" t="str">
        <f t="shared" ref="D66:M66" si="28">IF(D65&gt;=100%,"1.",IF(D65&gt;=75%,"2.",IF(D65&gt;=50%,"3.",IF(D65&gt;=25%,"4.","voldoet niet"))))</f>
        <v>voldoet niet</v>
      </c>
      <c r="E66" s="40" t="str">
        <f t="shared" si="28"/>
        <v>4.</v>
      </c>
      <c r="F66" s="40" t="str">
        <f t="shared" si="28"/>
        <v>3.</v>
      </c>
      <c r="G66" s="40" t="str">
        <f t="shared" si="28"/>
        <v>3.</v>
      </c>
      <c r="H66" s="40" t="str">
        <f t="shared" si="28"/>
        <v>2.</v>
      </c>
      <c r="I66" s="40" t="str">
        <f t="shared" si="28"/>
        <v>1.</v>
      </c>
      <c r="J66" s="40" t="str">
        <f t="shared" si="28"/>
        <v>voldoet niet</v>
      </c>
      <c r="K66" s="40" t="str">
        <f t="shared" si="28"/>
        <v>4.</v>
      </c>
      <c r="L66" s="40" t="str">
        <f t="shared" si="28"/>
        <v>voldoet niet</v>
      </c>
      <c r="M66" s="40" t="str">
        <f t="shared" si="28"/>
        <v>voldoet niet</v>
      </c>
      <c r="N66" s="36" t="s">
        <v>25</v>
      </c>
    </row>
    <row r="67" spans="1:15" ht="12" customHeight="1" x14ac:dyDescent="0.2">
      <c r="A67" s="1"/>
      <c r="B67" s="24"/>
      <c r="C67" s="28"/>
      <c r="D67" s="28"/>
      <c r="E67" s="28"/>
      <c r="F67" s="28"/>
      <c r="G67" s="28"/>
      <c r="H67" s="28"/>
      <c r="I67" s="28"/>
      <c r="J67" s="28"/>
      <c r="K67" s="28"/>
      <c r="L67" s="28"/>
      <c r="M67" s="28"/>
      <c r="N67" s="24"/>
    </row>
    <row r="68" spans="1:15" ht="12" customHeight="1" x14ac:dyDescent="0.2">
      <c r="A68" s="29" t="s">
        <v>77</v>
      </c>
      <c r="B68" s="75" t="s">
        <v>85</v>
      </c>
      <c r="C68" s="73">
        <f>IF(C18="","",(C51*C18+C52*C19+C53*C55)*C54)</f>
        <v>95058.15</v>
      </c>
      <c r="D68" s="73">
        <f t="shared" ref="D68:M68" si="29">IF(D18="","",(D51*D18+D52*D19+D53*D55)*D54)</f>
        <v>95058.15</v>
      </c>
      <c r="E68" s="73">
        <f t="shared" si="29"/>
        <v>95058.15</v>
      </c>
      <c r="F68" s="73">
        <f t="shared" si="29"/>
        <v>95058.15</v>
      </c>
      <c r="G68" s="73">
        <f t="shared" si="29"/>
        <v>95058.15</v>
      </c>
      <c r="H68" s="73">
        <f t="shared" si="29"/>
        <v>95058.15</v>
      </c>
      <c r="I68" s="73">
        <f t="shared" si="29"/>
        <v>95058.15</v>
      </c>
      <c r="J68" s="73">
        <f t="shared" si="29"/>
        <v>96114.7</v>
      </c>
      <c r="K68" s="73">
        <f t="shared" si="29"/>
        <v>83840.7</v>
      </c>
      <c r="L68" s="73">
        <f t="shared" si="29"/>
        <v>71106.899999999994</v>
      </c>
      <c r="M68" s="73" t="str">
        <f t="shared" si="29"/>
        <v/>
      </c>
      <c r="N68" s="70" t="s">
        <v>10</v>
      </c>
      <c r="O68" s="15"/>
    </row>
    <row r="69" spans="1:15" ht="12" customHeight="1" x14ac:dyDescent="0.2">
      <c r="A69" s="8"/>
      <c r="B69" s="70" t="s">
        <v>84</v>
      </c>
      <c r="C69" s="73">
        <f>IF(C18="","",C68*C57)</f>
        <v>57034.889999999992</v>
      </c>
      <c r="D69" s="73">
        <f t="shared" ref="D69:M69" si="30">IF(D18="","",D68*D57)</f>
        <v>47529.074999999997</v>
      </c>
      <c r="E69" s="73">
        <f t="shared" si="30"/>
        <v>38023.26</v>
      </c>
      <c r="F69" s="73">
        <f t="shared" si="30"/>
        <v>28612.503149999997</v>
      </c>
      <c r="G69" s="73">
        <f t="shared" si="30"/>
        <v>19011.63</v>
      </c>
      <c r="H69" s="73">
        <f t="shared" si="30"/>
        <v>9505.8150000000005</v>
      </c>
      <c r="I69" s="73">
        <f t="shared" si="30"/>
        <v>-95.058149999999998</v>
      </c>
      <c r="J69" s="73">
        <f t="shared" si="30"/>
        <v>57284.361199999999</v>
      </c>
      <c r="K69" s="73">
        <f t="shared" si="30"/>
        <v>32446.350900000001</v>
      </c>
      <c r="L69" s="73">
        <f t="shared" si="30"/>
        <v>36051.198299999996</v>
      </c>
      <c r="M69" s="73" t="str">
        <f t="shared" si="30"/>
        <v/>
      </c>
      <c r="N69" s="70" t="s">
        <v>10</v>
      </c>
      <c r="O69" s="37"/>
    </row>
    <row r="70" spans="1:15" ht="12" customHeight="1" x14ac:dyDescent="0.15">
      <c r="B70" s="70" t="s">
        <v>83</v>
      </c>
      <c r="C70" s="77">
        <v>1</v>
      </c>
      <c r="D70" s="69">
        <f>$C$70</f>
        <v>1</v>
      </c>
      <c r="E70" s="69">
        <f t="shared" ref="E70:M70" si="31">$C$70</f>
        <v>1</v>
      </c>
      <c r="F70" s="69">
        <f t="shared" si="31"/>
        <v>1</v>
      </c>
      <c r="G70" s="69">
        <f t="shared" si="31"/>
        <v>1</v>
      </c>
      <c r="H70" s="69">
        <f t="shared" si="31"/>
        <v>1</v>
      </c>
      <c r="I70" s="69">
        <f t="shared" si="31"/>
        <v>1</v>
      </c>
      <c r="J70" s="69">
        <f t="shared" si="31"/>
        <v>1</v>
      </c>
      <c r="K70" s="69">
        <f t="shared" si="31"/>
        <v>1</v>
      </c>
      <c r="L70" s="69">
        <f t="shared" si="31"/>
        <v>1</v>
      </c>
      <c r="M70" s="69">
        <f t="shared" si="31"/>
        <v>1</v>
      </c>
      <c r="N70" s="74" t="s">
        <v>25</v>
      </c>
    </row>
    <row r="71" spans="1:15" ht="12" customHeight="1" x14ac:dyDescent="0.2">
      <c r="B71" s="70" t="s">
        <v>86</v>
      </c>
      <c r="C71" s="73">
        <f>IF(C18="","",C70*C69/C18)</f>
        <v>335.71658131732295</v>
      </c>
      <c r="D71" s="73">
        <f t="shared" ref="D71:M71" si="32">IF(D18="","",D70*D69/D18)</f>
        <v>279.76381776443583</v>
      </c>
      <c r="E71" s="73">
        <f t="shared" si="32"/>
        <v>223.81105421154868</v>
      </c>
      <c r="F71" s="73">
        <f t="shared" si="32"/>
        <v>168.41781829419034</v>
      </c>
      <c r="G71" s="73">
        <f t="shared" si="32"/>
        <v>111.90552710577434</v>
      </c>
      <c r="H71" s="73">
        <f t="shared" si="32"/>
        <v>55.95276355288717</v>
      </c>
      <c r="I71" s="73">
        <f t="shared" si="32"/>
        <v>-0.55952763552887164</v>
      </c>
      <c r="J71" s="73">
        <f t="shared" si="32"/>
        <v>326.40661652421653</v>
      </c>
      <c r="K71" s="73">
        <f t="shared" si="32"/>
        <v>198.32732823960882</v>
      </c>
      <c r="L71" s="73">
        <f t="shared" si="32"/>
        <v>252.1062818181818</v>
      </c>
      <c r="M71" s="73" t="str">
        <f t="shared" si="32"/>
        <v/>
      </c>
      <c r="N71" s="71" t="s">
        <v>0</v>
      </c>
      <c r="O71" s="68"/>
    </row>
    <row r="72" spans="1:15" ht="12" customHeight="1" x14ac:dyDescent="0.15">
      <c r="B72" s="72" t="s">
        <v>31</v>
      </c>
      <c r="C72" s="76" t="str">
        <f>IF(C71&lt;=0,"1.",IF(C71&lt;=55,"2.",IF(C71&lt;=110,"3.","4.")))</f>
        <v>4.</v>
      </c>
      <c r="D72" s="76" t="str">
        <f t="shared" ref="D72:M72" si="33">IF(D71&lt;=0,"1.",IF(D71&lt;=55,"2.",IF(D71&lt;=110,"3.","4.")))</f>
        <v>4.</v>
      </c>
      <c r="E72" s="76" t="str">
        <f t="shared" si="33"/>
        <v>4.</v>
      </c>
      <c r="F72" s="76" t="str">
        <f t="shared" si="33"/>
        <v>4.</v>
      </c>
      <c r="G72" s="76" t="str">
        <f t="shared" si="33"/>
        <v>4.</v>
      </c>
      <c r="H72" s="76" t="str">
        <f t="shared" si="33"/>
        <v>3.</v>
      </c>
      <c r="I72" s="76" t="str">
        <f t="shared" si="33"/>
        <v>1.</v>
      </c>
      <c r="J72" s="76" t="str">
        <f t="shared" si="33"/>
        <v>4.</v>
      </c>
      <c r="K72" s="76" t="str">
        <f t="shared" si="33"/>
        <v>4.</v>
      </c>
      <c r="L72" s="76" t="str">
        <f t="shared" si="33"/>
        <v>4.</v>
      </c>
      <c r="M72" s="76" t="str">
        <f t="shared" si="33"/>
        <v>4.</v>
      </c>
      <c r="N72" s="74" t="s">
        <v>25</v>
      </c>
    </row>
    <row r="73" spans="1:15" ht="12" customHeight="1" x14ac:dyDescent="0.2">
      <c r="A73" s="67"/>
      <c r="B73" s="66"/>
      <c r="C73" s="63"/>
      <c r="D73" s="63"/>
      <c r="E73" s="63"/>
      <c r="F73" s="63"/>
      <c r="G73" s="63"/>
      <c r="H73" s="63"/>
      <c r="I73" s="63"/>
      <c r="J73" s="63"/>
      <c r="K73" s="63"/>
      <c r="L73" s="63"/>
      <c r="M73" s="63"/>
      <c r="N73" s="41"/>
    </row>
    <row r="74" spans="1:15" ht="12" customHeight="1" x14ac:dyDescent="0.15">
      <c r="A74" s="8"/>
      <c r="B74" s="8"/>
      <c r="C74" s="8"/>
      <c r="D74" s="8"/>
      <c r="E74" s="8"/>
      <c r="F74" s="8"/>
      <c r="G74" s="8"/>
      <c r="H74" s="8"/>
      <c r="I74" s="8"/>
      <c r="J74" s="8"/>
      <c r="K74" s="8"/>
      <c r="L74" s="8"/>
      <c r="M74" s="8"/>
      <c r="N74" s="8"/>
    </row>
  </sheetData>
  <pageMargins left="0.74803149606299213" right="0.74803149606299213" top="0.98425196850393704" bottom="0.98425196850393704" header="0.51181102362204722" footer="0.51181102362204722"/>
  <pageSetup paperSize="8" scale="76" orientation="landscape" r:id="rId1"/>
  <headerFooter alignWithMargins="0">
    <oddFooter>&amp;L&amp;"Verdana,Standaard"&amp;9&amp;F&amp;R&amp;"Verdana,Standaard"&amp;9&amp;D</oddFooter>
  </headerFooter>
  <rowBreaks count="1" manualBreakCount="1">
    <brk id="59"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Voorblad</vt:lpstr>
      <vt:lpstr>Rekenvoorbeelden</vt:lpstr>
      <vt:lpstr>Rekenvoorbeelden!Afdrukbereik</vt:lpstr>
      <vt:lpstr>Voorblad!Afdrukbereik</vt:lpstr>
    </vt:vector>
  </TitlesOfParts>
  <Company>Adviesburo Nieman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Imke Du Ry</dc:creator>
  <cp:lastModifiedBy>Kitty Huijbers</cp:lastModifiedBy>
  <cp:lastPrinted>2014-11-25T11:02:17Z</cp:lastPrinted>
  <dcterms:created xsi:type="dcterms:W3CDTF">2014-11-11T15:08:25Z</dcterms:created>
  <dcterms:modified xsi:type="dcterms:W3CDTF">2015-05-13T14:28:03Z</dcterms:modified>
</cp:coreProperties>
</file>